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55" documentId="8_{1397EA9D-AC8B-4D07-8247-278D4484C040}" xr6:coauthVersionLast="47" xr6:coauthVersionMax="47" xr10:uidLastSave="{1CE10116-BF4A-4519-BAF9-8D0FDBE0D0CF}"/>
  <bookViews>
    <workbookView xWindow="-30828" yWindow="-3120" windowWidth="30936" windowHeight="16776" activeTab="1" xr2:uid="{00000000-000D-0000-FFFF-FFFF00000000}"/>
  </bookViews>
  <sheets>
    <sheet name="Matrix &amp; data - nieuw" sheetId="9" r:id="rId1"/>
    <sheet name="Matrix score - nieuw" sheetId="7" r:id="rId2"/>
    <sheet name="Bruto toegevoegde waarde" sheetId="6" r:id="rId3"/>
    <sheet name="Data - samenstelling" sheetId="3" r:id="rId4"/>
    <sheet name="Data - kosten &amp; opbrengsten" sheetId="4" r:id="rId5"/>
  </sheets>
  <definedNames>
    <definedName name="_xlnm._FilterDatabase" localSheetId="1" hidden="1">'Matrix score - nieuw'!$B$3:$Q$23</definedName>
    <definedName name="Score_1">#REF!</definedName>
    <definedName name="Score_2">#REF!</definedName>
    <definedName name="Score_3">#REF!</definedName>
    <definedName name="Score_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0" i="9" l="1"/>
  <c r="V70" i="9"/>
  <c r="D64" i="9"/>
  <c r="K14" i="7"/>
  <c r="D148" i="6"/>
  <c r="O18" i="7"/>
  <c r="J18" i="7"/>
  <c r="K5" i="7"/>
  <c r="D15" i="6"/>
  <c r="E15" i="6"/>
  <c r="Q14" i="7"/>
  <c r="Q23" i="7"/>
  <c r="Q22" i="7"/>
  <c r="Q21" i="7"/>
  <c r="Q20" i="7"/>
  <c r="Q19" i="7"/>
  <c r="Q18" i="7"/>
  <c r="Q17" i="7"/>
  <c r="Q16" i="7"/>
  <c r="Q15" i="7"/>
  <c r="Q13" i="7"/>
  <c r="Q12" i="7"/>
  <c r="Q11" i="7"/>
  <c r="Q10" i="7"/>
  <c r="Q9" i="7"/>
  <c r="Q8" i="7"/>
  <c r="Q7" i="7"/>
  <c r="Q6" i="7"/>
  <c r="Q5" i="7"/>
  <c r="Q4" i="7"/>
  <c r="H13" i="7"/>
  <c r="P12" i="7"/>
  <c r="E138" i="6"/>
  <c r="E118" i="6"/>
  <c r="E119" i="6"/>
  <c r="E120" i="6"/>
  <c r="C121" i="6"/>
  <c r="E121" i="6" s="1"/>
  <c r="E101" i="6"/>
  <c r="E105" i="6" s="1"/>
  <c r="E102" i="6"/>
  <c r="M71" i="9"/>
  <c r="K13" i="7"/>
  <c r="P13" i="7"/>
  <c r="O13" i="7"/>
  <c r="N13" i="7"/>
  <c r="M13" i="7"/>
  <c r="L13" i="7"/>
  <c r="J13" i="7"/>
  <c r="I13" i="7"/>
  <c r="G13" i="7"/>
  <c r="F13" i="7"/>
  <c r="R18" i="3"/>
  <c r="P11" i="7"/>
  <c r="J17" i="7"/>
  <c r="J16" i="7"/>
  <c r="I16" i="7"/>
  <c r="I6" i="7"/>
  <c r="N16" i="7"/>
  <c r="P16" i="7"/>
  <c r="O16" i="7"/>
  <c r="N15" i="7"/>
  <c r="M16" i="7"/>
  <c r="L16" i="7"/>
  <c r="K16" i="7"/>
  <c r="K15" i="7"/>
  <c r="H16" i="7"/>
  <c r="G16" i="7"/>
  <c r="F16" i="7"/>
  <c r="F15" i="7"/>
  <c r="O160" i="9"/>
  <c r="O159" i="9"/>
  <c r="E155" i="9"/>
  <c r="E29" i="6"/>
  <c r="E27" i="6"/>
  <c r="E28" i="6"/>
  <c r="C30" i="6"/>
  <c r="E30" i="6" s="1"/>
  <c r="Q20" i="9"/>
  <c r="E124" i="6" l="1"/>
  <c r="E13" i="7"/>
  <c r="E16" i="7"/>
  <c r="E33" i="6"/>
  <c r="F69" i="9" s="1"/>
  <c r="I15" i="7" l="1"/>
  <c r="G21" i="7"/>
  <c r="N6" i="7"/>
  <c r="N5" i="7"/>
  <c r="N4" i="7"/>
  <c r="K23" i="7"/>
  <c r="K22" i="7"/>
  <c r="K21" i="7"/>
  <c r="K20" i="7"/>
  <c r="K19" i="7"/>
  <c r="K18" i="7"/>
  <c r="K17" i="7"/>
  <c r="K12" i="7"/>
  <c r="K11" i="7"/>
  <c r="K10" i="7"/>
  <c r="K9" i="7"/>
  <c r="K8" i="7"/>
  <c r="K7" i="7"/>
  <c r="K6" i="7"/>
  <c r="K4" i="7"/>
  <c r="G23" i="7"/>
  <c r="G22" i="7"/>
  <c r="G20" i="7"/>
  <c r="G19" i="7"/>
  <c r="G18" i="7"/>
  <c r="G17" i="7"/>
  <c r="G15" i="7"/>
  <c r="G14" i="7"/>
  <c r="G12" i="7"/>
  <c r="G11" i="7"/>
  <c r="G10" i="7"/>
  <c r="G9" i="7"/>
  <c r="G8" i="7"/>
  <c r="G7" i="7"/>
  <c r="G6" i="7"/>
  <c r="G5" i="7"/>
  <c r="G4" i="7"/>
  <c r="P20" i="7" l="1"/>
  <c r="P23" i="7"/>
  <c r="P19" i="7"/>
  <c r="P17" i="7"/>
  <c r="P5" i="7"/>
  <c r="P10" i="7"/>
  <c r="P9" i="7"/>
  <c r="P8" i="7"/>
  <c r="L23" i="7"/>
  <c r="O23" i="7"/>
  <c r="O17" i="7"/>
  <c r="O19" i="7"/>
  <c r="O12" i="7"/>
  <c r="O11" i="7"/>
  <c r="O10" i="7"/>
  <c r="O5" i="7"/>
  <c r="O9" i="7"/>
  <c r="N19" i="7"/>
  <c r="N17" i="7"/>
  <c r="N23" i="7"/>
  <c r="N12" i="7"/>
  <c r="N11" i="7"/>
  <c r="N10" i="7"/>
  <c r="N9" i="7"/>
  <c r="N8" i="7"/>
  <c r="L19" i="7" l="1"/>
  <c r="L17" i="7"/>
  <c r="L12" i="7"/>
  <c r="L11" i="7"/>
  <c r="L10" i="7"/>
  <c r="L9" i="7"/>
  <c r="J23" i="7"/>
  <c r="J19" i="7"/>
  <c r="J12" i="7"/>
  <c r="J11" i="7"/>
  <c r="J10" i="7"/>
  <c r="J9" i="7"/>
  <c r="I23" i="7"/>
  <c r="I22" i="7"/>
  <c r="I21" i="7"/>
  <c r="I19" i="7"/>
  <c r="I17" i="7"/>
  <c r="I12" i="7"/>
  <c r="I11" i="7"/>
  <c r="I10" i="7"/>
  <c r="I9" i="7"/>
  <c r="I8" i="7"/>
  <c r="I7" i="7"/>
  <c r="H23" i="7"/>
  <c r="H19" i="7"/>
  <c r="J14" i="7"/>
  <c r="H7" i="7"/>
  <c r="H8" i="7"/>
  <c r="H9" i="7"/>
  <c r="H10" i="7"/>
  <c r="H11" i="7"/>
  <c r="H17" i="7"/>
  <c r="H12" i="7"/>
  <c r="J22" i="7"/>
  <c r="F23" i="7"/>
  <c r="F19" i="7"/>
  <c r="F17" i="7"/>
  <c r="F12" i="7"/>
  <c r="F11" i="7"/>
  <c r="O22" i="7" s="1"/>
  <c r="F10" i="7"/>
  <c r="F9" i="7"/>
  <c r="M23" i="7"/>
  <c r="M22" i="7"/>
  <c r="M21" i="7"/>
  <c r="M20" i="7"/>
  <c r="M19" i="7"/>
  <c r="M18" i="7"/>
  <c r="M17" i="7"/>
  <c r="M12" i="7"/>
  <c r="M11" i="7"/>
  <c r="M10" i="7"/>
  <c r="M9" i="7"/>
  <c r="M8" i="7"/>
  <c r="O8" i="7"/>
  <c r="L8" i="7"/>
  <c r="J8" i="7"/>
  <c r="F8" i="7"/>
  <c r="P7" i="7"/>
  <c r="O7" i="7"/>
  <c r="N7" i="7"/>
  <c r="M7" i="7"/>
  <c r="L7" i="7"/>
  <c r="J7" i="7"/>
  <c r="F7" i="7"/>
  <c r="P6" i="7"/>
  <c r="O6" i="7"/>
  <c r="M6" i="7"/>
  <c r="L6" i="7"/>
  <c r="J6" i="7"/>
  <c r="H6" i="7"/>
  <c r="J15" i="7"/>
  <c r="F6" i="7"/>
  <c r="M5" i="7"/>
  <c r="L5" i="7"/>
  <c r="AA19" i="9"/>
  <c r="J5" i="7"/>
  <c r="I5" i="7"/>
  <c r="H5" i="7"/>
  <c r="F5" i="7"/>
  <c r="E5" i="6"/>
  <c r="C7" i="6"/>
  <c r="E7" i="6" s="1"/>
  <c r="E6" i="6"/>
  <c r="E14" i="6"/>
  <c r="H69" i="9"/>
  <c r="E12" i="7" l="1"/>
  <c r="E10" i="6"/>
  <c r="F18" i="7"/>
  <c r="F20" i="7"/>
  <c r="F22" i="7"/>
  <c r="H15" i="7"/>
  <c r="H22" i="7"/>
  <c r="L18" i="7"/>
  <c r="L22" i="7"/>
  <c r="J20" i="7"/>
  <c r="J21" i="7"/>
  <c r="F21" i="7"/>
  <c r="L21" i="7"/>
  <c r="P14" i="7"/>
  <c r="O14" i="7"/>
  <c r="N14" i="7"/>
  <c r="O21" i="7"/>
  <c r="O20" i="7"/>
  <c r="H18" i="7"/>
  <c r="L20" i="7"/>
  <c r="N21" i="7"/>
  <c r="N20" i="7"/>
  <c r="I14" i="7"/>
  <c r="N18" i="7"/>
  <c r="N22" i="7"/>
  <c r="O15" i="7"/>
  <c r="P15" i="7"/>
  <c r="F14" i="7"/>
  <c r="H14" i="7"/>
  <c r="H21" i="7"/>
  <c r="E9" i="7"/>
  <c r="P4" i="7"/>
  <c r="O4" i="7"/>
  <c r="M4" i="7"/>
  <c r="L4" i="7"/>
  <c r="J4" i="7"/>
  <c r="I4" i="7"/>
  <c r="H4" i="7"/>
  <c r="F4" i="7"/>
  <c r="D20" i="9"/>
  <c r="D69" i="9" l="1"/>
  <c r="D238" i="9"/>
  <c r="C234" i="9"/>
  <c r="D234" i="9" s="1"/>
  <c r="D235" i="9" s="1"/>
  <c r="C233" i="9"/>
  <c r="D233" i="9" s="1"/>
  <c r="C232" i="9"/>
  <c r="D232" i="9" s="1"/>
  <c r="AT19" i="9" s="1"/>
  <c r="C229" i="9"/>
  <c r="C228" i="9"/>
  <c r="C227" i="9"/>
  <c r="D227" i="9" s="1"/>
  <c r="D226" i="9"/>
  <c r="C224" i="9"/>
  <c r="D224" i="9" s="1"/>
  <c r="C223" i="9"/>
  <c r="D223" i="9" s="1"/>
  <c r="D221" i="9"/>
  <c r="AG19" i="9" s="1"/>
  <c r="D219" i="9"/>
  <c r="E163" i="9" s="1"/>
  <c r="C216" i="9"/>
  <c r="D216" i="9" s="1"/>
  <c r="C215" i="9"/>
  <c r="D215" i="9" s="1"/>
  <c r="D198" i="9"/>
  <c r="D197" i="9"/>
  <c r="D196" i="9"/>
  <c r="D195" i="9"/>
  <c r="E192" i="9"/>
  <c r="E160" i="9"/>
  <c r="O157" i="9"/>
  <c r="E157" i="9"/>
  <c r="N155" i="9"/>
  <c r="O155" i="9" s="1"/>
  <c r="E153" i="9"/>
  <c r="E152" i="9"/>
  <c r="E151" i="9"/>
  <c r="E150" i="9"/>
  <c r="E138" i="9"/>
  <c r="U19" i="9" s="1"/>
  <c r="E134" i="9"/>
  <c r="W19" i="9" s="1"/>
  <c r="E132" i="9"/>
  <c r="G19" i="9" s="1"/>
  <c r="E131" i="9"/>
  <c r="E129" i="9"/>
  <c r="E127" i="9"/>
  <c r="E125" i="9"/>
  <c r="E121" i="9"/>
  <c r="E119" i="9" s="1"/>
  <c r="E118" i="9"/>
  <c r="E117" i="9"/>
  <c r="E116" i="9"/>
  <c r="E98" i="9"/>
  <c r="AD24" i="9"/>
  <c r="AK23" i="9"/>
  <c r="AK22" i="9"/>
  <c r="AJ21" i="9"/>
  <c r="AJ22" i="9" s="1"/>
  <c r="AA20" i="9"/>
  <c r="Z20" i="9"/>
  <c r="U20" i="9"/>
  <c r="G20" i="9"/>
  <c r="F20" i="9"/>
  <c r="E20" i="9"/>
  <c r="R19" i="9"/>
  <c r="O19" i="9"/>
  <c r="N19" i="9"/>
  <c r="L19" i="9"/>
  <c r="H19" i="9"/>
  <c r="E19" i="9"/>
  <c r="D19" i="9"/>
  <c r="AJ17" i="9"/>
  <c r="I13" i="9"/>
  <c r="I17" i="9" s="1"/>
  <c r="I16" i="9" s="1"/>
  <c r="E5" i="7"/>
  <c r="E6" i="7"/>
  <c r="E7" i="7"/>
  <c r="E8" i="7"/>
  <c r="E10" i="7"/>
  <c r="E11" i="7"/>
  <c r="E17" i="7"/>
  <c r="E19" i="7"/>
  <c r="E23" i="7"/>
  <c r="E4" i="7"/>
  <c r="P59" i="9" l="1"/>
  <c r="P70" i="9" s="1"/>
  <c r="Q13" i="9"/>
  <c r="G59" i="9"/>
  <c r="M59" i="9"/>
  <c r="AP17" i="9"/>
  <c r="AM19" i="9"/>
  <c r="M15" i="7"/>
  <c r="L15" i="7"/>
  <c r="L14" i="7"/>
  <c r="M14" i="7"/>
  <c r="P22" i="7"/>
  <c r="E22" i="7" s="1"/>
  <c r="P18" i="7"/>
  <c r="I18" i="7"/>
  <c r="E18" i="7" s="1"/>
  <c r="P21" i="7"/>
  <c r="E21" i="7" s="1"/>
  <c r="I20" i="7"/>
  <c r="H20" i="7"/>
  <c r="S59" i="9"/>
  <c r="S70" i="9" s="1"/>
  <c r="T59" i="9"/>
  <c r="T70" i="9" s="1"/>
  <c r="U59" i="9"/>
  <c r="V59" i="9"/>
  <c r="W59" i="9"/>
  <c r="F59" i="9"/>
  <c r="F70" i="9" s="1"/>
  <c r="H59" i="9"/>
  <c r="H70" i="9" s="1"/>
  <c r="H71" i="9" s="1"/>
  <c r="I59" i="9"/>
  <c r="I70" i="9" s="1"/>
  <c r="J59" i="9"/>
  <c r="K59" i="9"/>
  <c r="L59" i="9"/>
  <c r="L70" i="9" s="1"/>
  <c r="N59" i="9"/>
  <c r="N70" i="9" s="1"/>
  <c r="O59" i="9"/>
  <c r="O70" i="9" s="1"/>
  <c r="Q59" i="9"/>
  <c r="R59" i="9"/>
  <c r="R70" i="9" s="1"/>
  <c r="E59" i="9"/>
  <c r="D59" i="9"/>
  <c r="D70" i="9" s="1"/>
  <c r="Y13" i="9"/>
  <c r="Y17" i="9" s="1"/>
  <c r="Y16" i="9" s="1"/>
  <c r="D13" i="9"/>
  <c r="D17" i="9" s="1"/>
  <c r="D16" i="9" s="1"/>
  <c r="AR19" i="9"/>
  <c r="J13" i="9"/>
  <c r="J17" i="9" s="1"/>
  <c r="J16" i="9" s="1"/>
  <c r="K13" i="9"/>
  <c r="K17" i="9" s="1"/>
  <c r="K16" i="9" s="1"/>
  <c r="Z13" i="9"/>
  <c r="AA13" i="9"/>
  <c r="AA17" i="9" s="1"/>
  <c r="AA16" i="9" s="1"/>
  <c r="AF13" i="9"/>
  <c r="AF21" i="9" s="1"/>
  <c r="AH19" i="9"/>
  <c r="X19" i="9"/>
  <c r="F19" i="9"/>
  <c r="AP20" i="9"/>
  <c r="T19" i="9"/>
  <c r="AD20" i="9"/>
  <c r="E219" i="9"/>
  <c r="AE19" i="9"/>
  <c r="R20" i="9"/>
  <c r="S19" i="9"/>
  <c r="AD19" i="9"/>
  <c r="AP19" i="9"/>
  <c r="AH24" i="9"/>
  <c r="AH20" i="9"/>
  <c r="AI19" i="9"/>
  <c r="E169" i="9"/>
  <c r="R17" i="9"/>
  <c r="R21" i="9"/>
  <c r="R22" i="9" s="1"/>
  <c r="AD21" i="9"/>
  <c r="AD22" i="9" s="1"/>
  <c r="AP24" i="9"/>
  <c r="AO19" i="9"/>
  <c r="D228" i="9"/>
  <c r="D229" i="9"/>
  <c r="AN19" i="9" s="1"/>
  <c r="E175" i="9"/>
  <c r="AP21" i="9" s="1"/>
  <c r="L13" i="9"/>
  <c r="L17" i="9" s="1"/>
  <c r="L16" i="9" s="1"/>
  <c r="AG13" i="9"/>
  <c r="AG17" i="9" s="1"/>
  <c r="AG16" i="9" s="1"/>
  <c r="N13" i="9"/>
  <c r="N17" i="9" s="1"/>
  <c r="N16" i="9" s="1"/>
  <c r="AH13" i="9"/>
  <c r="AH17" i="9" s="1"/>
  <c r="AF19" i="9"/>
  <c r="O13" i="9"/>
  <c r="O17" i="9" s="1"/>
  <c r="O16" i="9" s="1"/>
  <c r="P13" i="9"/>
  <c r="U13" i="9"/>
  <c r="Y21" i="9" s="1"/>
  <c r="AF20" i="9"/>
  <c r="E13" i="9"/>
  <c r="V13" i="9"/>
  <c r="AD17" i="9"/>
  <c r="F13" i="9"/>
  <c r="W13" i="9"/>
  <c r="W17" i="9" s="1"/>
  <c r="W16" i="9" s="1"/>
  <c r="G13" i="9"/>
  <c r="X13" i="9"/>
  <c r="AF24" i="9"/>
  <c r="H13" i="9"/>
  <c r="H17" i="9" s="1"/>
  <c r="H16" i="9" s="1"/>
  <c r="E166" i="9"/>
  <c r="AG20" i="9"/>
  <c r="AG24" i="9"/>
  <c r="AJ23" i="9"/>
  <c r="I21" i="9"/>
  <c r="I22" i="9" s="1"/>
  <c r="C140" i="6"/>
  <c r="E140" i="6" s="1"/>
  <c r="E139" i="6"/>
  <c r="Q13" i="4"/>
  <c r="Q12" i="4"/>
  <c r="T11" i="4"/>
  <c r="T8" i="4"/>
  <c r="E9" i="4"/>
  <c r="N18" i="3"/>
  <c r="K48" i="3"/>
  <c r="O18" i="3"/>
  <c r="M18" i="3"/>
  <c r="L18" i="3"/>
  <c r="S9" i="3"/>
  <c r="S8" i="3"/>
  <c r="S7" i="3"/>
  <c r="S6" i="3"/>
  <c r="R10" i="3"/>
  <c r="Q9" i="3"/>
  <c r="Q8" i="3"/>
  <c r="Q7" i="3"/>
  <c r="Q6" i="3"/>
  <c r="R9" i="3"/>
  <c r="R8" i="3"/>
  <c r="R7" i="3"/>
  <c r="R6" i="3"/>
  <c r="P7" i="3"/>
  <c r="P8" i="3"/>
  <c r="P9" i="3"/>
  <c r="P6" i="3"/>
  <c r="O6" i="3"/>
  <c r="G4" i="3"/>
  <c r="I4" i="3" s="1"/>
  <c r="C4" i="3"/>
  <c r="N8" i="3"/>
  <c r="C7" i="3"/>
  <c r="F5" i="3"/>
  <c r="F4" i="3"/>
  <c r="C5" i="3"/>
  <c r="I7" i="3"/>
  <c r="I6" i="3"/>
  <c r="H7" i="3"/>
  <c r="H6" i="3"/>
  <c r="G7" i="3"/>
  <c r="G6" i="3"/>
  <c r="E158" i="6"/>
  <c r="T18" i="4"/>
  <c r="K66" i="9" l="1"/>
  <c r="K64" i="9" s="1"/>
  <c r="K70" i="9"/>
  <c r="J66" i="9"/>
  <c r="J64" i="9" s="1"/>
  <c r="J70" i="9"/>
  <c r="Q66" i="9"/>
  <c r="Q64" i="9" s="1"/>
  <c r="Q70" i="9"/>
  <c r="E66" i="9"/>
  <c r="E64" i="9" s="1"/>
  <c r="E70" i="9"/>
  <c r="I66" i="9"/>
  <c r="I64" i="9" s="1"/>
  <c r="G66" i="9"/>
  <c r="G64" i="9" s="1"/>
  <c r="G70" i="9"/>
  <c r="E143" i="6"/>
  <c r="Q69" i="9" s="1"/>
  <c r="Q17" i="9"/>
  <c r="Q16" i="9" s="1"/>
  <c r="Q21" i="9"/>
  <c r="P66" i="9"/>
  <c r="P64" i="9" s="1"/>
  <c r="H66" i="9"/>
  <c r="H64" i="9" s="1"/>
  <c r="O66" i="9"/>
  <c r="O64" i="9" s="1"/>
  <c r="N66" i="9"/>
  <c r="N64" i="9" s="1"/>
  <c r="D66" i="9"/>
  <c r="D71" i="9"/>
  <c r="F66" i="9"/>
  <c r="F64" i="9" s="1"/>
  <c r="W66" i="9"/>
  <c r="W64" i="9" s="1"/>
  <c r="AF17" i="9"/>
  <c r="AF16" i="9" s="1"/>
  <c r="R66" i="9"/>
  <c r="R64" i="9" s="1"/>
  <c r="V66" i="9"/>
  <c r="V64" i="9" s="1"/>
  <c r="T66" i="9"/>
  <c r="T64" i="9" s="1"/>
  <c r="S66" i="9"/>
  <c r="S64" i="9" s="1"/>
  <c r="L71" i="9"/>
  <c r="L66" i="9"/>
  <c r="L64" i="9" s="1"/>
  <c r="U70" i="9"/>
  <c r="U66" i="9"/>
  <c r="U64" i="9" s="1"/>
  <c r="E15" i="7"/>
  <c r="E14" i="7"/>
  <c r="E20" i="7"/>
  <c r="J21" i="9"/>
  <c r="J22" i="9" s="1"/>
  <c r="AP23" i="9"/>
  <c r="AP25" i="9" s="1"/>
  <c r="R16" i="9"/>
  <c r="AA21" i="9"/>
  <c r="AA23" i="9" s="1"/>
  <c r="AA25" i="9" s="1"/>
  <c r="AF22" i="9"/>
  <c r="AF23" i="9"/>
  <c r="AF25" i="9" s="1"/>
  <c r="R23" i="9"/>
  <c r="R25" i="9" s="1"/>
  <c r="Z17" i="9"/>
  <c r="Z21" i="9"/>
  <c r="AP16" i="9"/>
  <c r="AH16" i="9"/>
  <c r="H21" i="9"/>
  <c r="H22" i="9" s="1"/>
  <c r="K21" i="9"/>
  <c r="K22" i="9" s="1"/>
  <c r="AD23" i="9"/>
  <c r="AD25" i="9" s="1"/>
  <c r="O21" i="9"/>
  <c r="O22" i="9" s="1"/>
  <c r="AL24" i="9"/>
  <c r="V21" i="9"/>
  <c r="V17" i="9"/>
  <c r="AP22" i="9"/>
  <c r="E21" i="9"/>
  <c r="E17" i="9"/>
  <c r="E16" i="9" s="1"/>
  <c r="E172" i="9"/>
  <c r="AL21" i="9" s="1"/>
  <c r="AL22" i="9" s="1"/>
  <c r="AD16" i="9"/>
  <c r="U21" i="9"/>
  <c r="U17" i="9"/>
  <c r="U16" i="9" s="1"/>
  <c r="AG21" i="9"/>
  <c r="AG22" i="9" s="1"/>
  <c r="X21" i="9"/>
  <c r="X17" i="9"/>
  <c r="X16" i="9" s="1"/>
  <c r="D21" i="9"/>
  <c r="AH21" i="9"/>
  <c r="AI22" i="9" s="1"/>
  <c r="G21" i="9"/>
  <c r="G17" i="9"/>
  <c r="G16" i="9" s="1"/>
  <c r="L21" i="9"/>
  <c r="N21" i="9"/>
  <c r="N22" i="9" s="1"/>
  <c r="P21" i="9"/>
  <c r="P17" i="9"/>
  <c r="P16" i="9" s="1"/>
  <c r="F21" i="9"/>
  <c r="F17" i="9"/>
  <c r="F16" i="9" s="1"/>
  <c r="D230" i="9"/>
  <c r="AL20" i="9" s="1"/>
  <c r="AL19" i="9"/>
  <c r="Y22" i="9"/>
  <c r="Y23" i="9"/>
  <c r="Y25" i="9" s="1"/>
  <c r="N6" i="3"/>
  <c r="N7" i="3"/>
  <c r="Q71" i="9" l="1"/>
  <c r="Q22" i="9"/>
  <c r="Q23" i="9"/>
  <c r="Q25" i="9" s="1"/>
  <c r="AA22" i="9"/>
  <c r="AL23" i="9"/>
  <c r="AL25" i="9" s="1"/>
  <c r="Z22" i="9"/>
  <c r="Z23" i="9"/>
  <c r="AG23" i="9"/>
  <c r="AG25" i="9" s="1"/>
  <c r="L22" i="9"/>
  <c r="G22" i="9"/>
  <c r="G23" i="9"/>
  <c r="G25" i="9" s="1"/>
  <c r="AH23" i="9"/>
  <c r="AH25" i="9" s="1"/>
  <c r="E22" i="9"/>
  <c r="E23" i="9"/>
  <c r="E25" i="9" s="1"/>
  <c r="D22" i="9"/>
  <c r="D23" i="9"/>
  <c r="D25" i="9" s="1"/>
  <c r="P22" i="9"/>
  <c r="U23" i="9"/>
  <c r="U25" i="9" s="1"/>
  <c r="U22" i="9"/>
  <c r="X22" i="9"/>
  <c r="X23" i="9"/>
  <c r="X25" i="9" s="1"/>
  <c r="V22" i="9"/>
  <c r="V23" i="9"/>
  <c r="F23" i="9"/>
  <c r="F25" i="9" s="1"/>
  <c r="F22" i="9"/>
  <c r="AL17" i="9"/>
  <c r="AL16" i="9" s="1"/>
  <c r="E191" i="6"/>
  <c r="E180" i="6"/>
  <c r="E192" i="6"/>
  <c r="E202" i="6"/>
  <c r="E201" i="6"/>
  <c r="E59" i="6"/>
  <c r="E129" i="6"/>
  <c r="E130" i="6"/>
  <c r="E161" i="6"/>
  <c r="E160" i="6"/>
  <c r="E159" i="6"/>
  <c r="C182" i="6"/>
  <c r="E182" i="6" s="1"/>
  <c r="C203" i="6"/>
  <c r="E203" i="6" s="1"/>
  <c r="E200" i="6"/>
  <c r="C193" i="6"/>
  <c r="E193" i="6" s="1"/>
  <c r="E190" i="6"/>
  <c r="E189" i="6"/>
  <c r="E181" i="6"/>
  <c r="E179" i="6"/>
  <c r="C172" i="6"/>
  <c r="E206" i="6" l="1"/>
  <c r="W69" i="9" s="1"/>
  <c r="W71" i="9" s="1"/>
  <c r="E185" i="6"/>
  <c r="E196" i="6"/>
  <c r="V69" i="9" s="1"/>
  <c r="V71" i="9" s="1"/>
  <c r="U69" i="9" l="1"/>
  <c r="U71" i="9" s="1"/>
  <c r="C162" i="6"/>
  <c r="E162" i="6" s="1"/>
  <c r="E165" i="6" s="1"/>
  <c r="S69" i="9" s="1"/>
  <c r="S71" i="9" s="1"/>
  <c r="E172" i="6"/>
  <c r="E171" i="6"/>
  <c r="E170" i="6"/>
  <c r="E169" i="6"/>
  <c r="E175" i="6" s="1"/>
  <c r="C151" i="6"/>
  <c r="E151" i="6" s="1"/>
  <c r="E150" i="6"/>
  <c r="E149" i="6"/>
  <c r="E148" i="6"/>
  <c r="E147" i="6"/>
  <c r="E110" i="6"/>
  <c r="E49" i="6"/>
  <c r="E48" i="6"/>
  <c r="E58" i="6"/>
  <c r="E70" i="6"/>
  <c r="E69" i="6"/>
  <c r="E68" i="6"/>
  <c r="E81" i="6"/>
  <c r="E80" i="6"/>
  <c r="E79" i="6"/>
  <c r="E39" i="6"/>
  <c r="E38" i="6"/>
  <c r="E93" i="6"/>
  <c r="E92" i="6"/>
  <c r="E91" i="6"/>
  <c r="E90" i="6"/>
  <c r="E19" i="6"/>
  <c r="E18" i="6"/>
  <c r="E17" i="6"/>
  <c r="E16" i="6"/>
  <c r="C131" i="6"/>
  <c r="E131" i="6" s="1"/>
  <c r="E128" i="6"/>
  <c r="C111" i="6"/>
  <c r="E111" i="6" s="1"/>
  <c r="E109" i="6"/>
  <c r="T69" i="9" l="1"/>
  <c r="T71" i="9" s="1"/>
  <c r="E134" i="6"/>
  <c r="P69" i="9" s="1"/>
  <c r="P71" i="9" s="1"/>
  <c r="E154" i="6"/>
  <c r="R69" i="9" s="1"/>
  <c r="R71" i="9" s="1"/>
  <c r="O69" i="9"/>
  <c r="O71" i="9" s="1"/>
  <c r="F71" i="9"/>
  <c r="E114" i="6"/>
  <c r="E50" i="6"/>
  <c r="E47" i="6"/>
  <c r="C20" i="6"/>
  <c r="E20" i="6" s="1"/>
  <c r="E23" i="6" s="1"/>
  <c r="E69" i="9" s="1"/>
  <c r="C71" i="6"/>
  <c r="E71" i="6" s="1"/>
  <c r="E67" i="6"/>
  <c r="E57" i="6"/>
  <c r="C60" i="6"/>
  <c r="E60" i="6" s="1"/>
  <c r="C82" i="6"/>
  <c r="E82" i="6" s="1"/>
  <c r="E78" i="6"/>
  <c r="C40" i="6"/>
  <c r="E40" i="6" s="1"/>
  <c r="E37" i="6"/>
  <c r="C94" i="6"/>
  <c r="E94" i="6" s="1"/>
  <c r="E89" i="6"/>
  <c r="N69" i="9" l="1"/>
  <c r="N71" i="9" s="1"/>
  <c r="E85" i="6"/>
  <c r="J69" i="9" s="1"/>
  <c r="J71" i="9" s="1"/>
  <c r="E53" i="6"/>
  <c r="E43" i="6"/>
  <c r="E63" i="6"/>
  <c r="E74" i="6"/>
  <c r="E97" i="6"/>
  <c r="K69" i="9" s="1"/>
  <c r="K71" i="9" s="1"/>
  <c r="I69" i="9" l="1"/>
  <c r="I71" i="9" s="1"/>
  <c r="G69" i="9"/>
  <c r="G71" i="9" s="1"/>
  <c r="E71" i="9"/>
  <c r="T20" i="4" l="1"/>
  <c r="T13" i="4"/>
  <c r="T19" i="4"/>
  <c r="T10" i="4"/>
  <c r="T9" i="4"/>
  <c r="I20" i="4" l="1"/>
  <c r="E20" i="4"/>
  <c r="I19" i="4"/>
  <c r="E19" i="4"/>
  <c r="I17" i="4"/>
  <c r="E17" i="4"/>
  <c r="I16" i="4"/>
  <c r="E16" i="4"/>
  <c r="I13" i="4"/>
  <c r="E13" i="4"/>
  <c r="I12" i="4"/>
  <c r="E12" i="4"/>
  <c r="I10" i="4"/>
  <c r="E10" i="4"/>
  <c r="I9" i="4"/>
  <c r="K20" i="3" l="1"/>
  <c r="K18" i="3"/>
  <c r="K19" i="3"/>
  <c r="K21" i="3"/>
  <c r="E18" i="3"/>
  <c r="E48" i="3"/>
  <c r="E19" i="3"/>
  <c r="E49" i="3"/>
  <c r="E20" i="3"/>
  <c r="E50" i="3"/>
  <c r="F18" i="3"/>
  <c r="F19" i="3"/>
  <c r="G18" i="3"/>
  <c r="G19" i="3"/>
  <c r="E51" i="3"/>
  <c r="R19" i="3"/>
  <c r="R20" i="3"/>
  <c r="R21" i="3"/>
  <c r="G41" i="3"/>
  <c r="E41" i="3"/>
  <c r="G42" i="3"/>
  <c r="E42" i="3"/>
  <c r="G43" i="3"/>
  <c r="E43" i="3"/>
  <c r="E44" i="3"/>
  <c r="G20" i="3"/>
  <c r="U21" i="3"/>
  <c r="Z21" i="3"/>
  <c r="G34" i="3"/>
  <c r="E34" i="3"/>
  <c r="G35" i="3"/>
  <c r="E35" i="3"/>
  <c r="G36" i="3"/>
  <c r="E36" i="3"/>
  <c r="E37" i="3"/>
  <c r="F34" i="3"/>
  <c r="F35" i="3"/>
  <c r="F36" i="3"/>
  <c r="W19" i="3"/>
  <c r="W20" i="3"/>
  <c r="X21" i="3"/>
  <c r="Y21" i="3"/>
  <c r="W18" i="3"/>
  <c r="G48" i="3"/>
  <c r="G49" i="3"/>
  <c r="G50" i="3"/>
  <c r="F20" i="3"/>
  <c r="D18" i="3"/>
  <c r="D19" i="3"/>
  <c r="D20" i="3"/>
  <c r="D21" i="3"/>
  <c r="F48" i="3"/>
  <c r="F49" i="3"/>
  <c r="F50" i="3"/>
  <c r="F41" i="3"/>
  <c r="F42" i="3"/>
  <c r="F43" i="3"/>
  <c r="G37" i="3" l="1"/>
  <c r="K37" i="3" s="1"/>
  <c r="Q21" i="3" s="1"/>
  <c r="N20" i="3"/>
  <c r="K41" i="3"/>
  <c r="P18" i="3" s="1"/>
  <c r="K50" i="3"/>
  <c r="O20" i="3" s="1"/>
  <c r="W21" i="3"/>
  <c r="F37" i="3"/>
  <c r="K36" i="3"/>
  <c r="Q20" i="3" s="1"/>
  <c r="K35" i="3"/>
  <c r="Q19" i="3" s="1"/>
  <c r="K34" i="3"/>
  <c r="Q18" i="3" s="1"/>
  <c r="K43" i="3"/>
  <c r="P20" i="3" s="1"/>
  <c r="K42" i="3"/>
  <c r="P19" i="3" s="1"/>
  <c r="G44" i="3"/>
  <c r="D22" i="3"/>
  <c r="K44" i="3"/>
  <c r="P21" i="3" s="1"/>
  <c r="F51" i="3"/>
  <c r="G51" i="3"/>
  <c r="K51" i="3" s="1"/>
  <c r="O21" i="3" s="1"/>
  <c r="M19" i="3"/>
  <c r="F21" i="3"/>
  <c r="L19" i="3"/>
  <c r="F44" i="3"/>
  <c r="K49" i="3"/>
  <c r="O19" i="3" s="1"/>
  <c r="G21" i="3"/>
  <c r="L20" i="3"/>
  <c r="N19" i="3"/>
  <c r="M20" i="3"/>
  <c r="H21" i="3" l="1"/>
  <c r="E21" i="3" s="1"/>
  <c r="L21" i="3" l="1"/>
  <c r="M21" i="3"/>
  <c r="N21" i="3"/>
  <c r="H4" i="3" l="1"/>
  <c r="N9" i="3" l="1"/>
  <c r="O7" i="3" l="1"/>
  <c r="O8" i="3"/>
  <c r="O9" i="3"/>
  <c r="G9" i="3"/>
  <c r="I9" i="3"/>
  <c r="H9" i="3"/>
  <c r="S10" i="3" l="1"/>
  <c r="Q22" i="3" l="1"/>
  <c r="O22" i="3"/>
  <c r="C22" i="3"/>
  <c r="S22" i="3"/>
  <c r="H22" i="3"/>
  <c r="L22" i="3"/>
  <c r="R22" i="3"/>
  <c r="W22" i="3"/>
  <c r="Y22" i="3"/>
  <c r="F22" i="3"/>
  <c r="V22" i="3"/>
  <c r="U22" i="3"/>
  <c r="T22" i="3"/>
  <c r="K22" i="3"/>
  <c r="Q10" i="3"/>
  <c r="M22" i="3"/>
  <c r="X22" i="3"/>
  <c r="P22" i="3"/>
  <c r="G22" i="3"/>
  <c r="Z22" i="3"/>
  <c r="E22" i="3"/>
  <c r="N22" i="3"/>
  <c r="O20" i="9" l="1"/>
  <c r="O23" i="9" s="1"/>
  <c r="O25" i="9" s="1"/>
  <c r="N20" i="9"/>
  <c r="N23" i="9" s="1"/>
  <c r="N25" i="9" s="1"/>
  <c r="L20" i="9"/>
  <c r="L23" i="9" s="1"/>
  <c r="L25" i="9" s="1"/>
  <c r="K20" i="9"/>
  <c r="K23" i="9" s="1"/>
  <c r="K25" i="9" s="1"/>
  <c r="J20" i="9"/>
  <c r="J23" i="9" s="1"/>
  <c r="J25" i="9" s="1"/>
  <c r="I20" i="9"/>
  <c r="I23" i="9" s="1"/>
  <c r="I25" i="9" s="1"/>
  <c r="H20" i="9"/>
  <c r="H23" i="9" s="1"/>
  <c r="H25" i="9" s="1"/>
  <c r="P20" i="9"/>
  <c r="P23" i="9" s="1"/>
  <c r="P2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tc={B503484A-3874-4303-B78D-4B5EB2395F84}</author>
    <author>tc={8D060156-9421-4B9B-91AC-01AC2A6AE9BC}</author>
    <author>tc={EF116D7C-4C64-4F7E-B7FC-9A9B5DDDD931}</author>
    <author>tc={424A8080-5037-45BB-B0FF-B6379A678DD0}</author>
    <author>Auteur</author>
  </authors>
  <commentList>
    <comment ref="I4" authorId="0" shapeId="0" xr:uid="{B503484A-3874-4303-B78D-4B5EB2395F8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Cyclin
Beantwoorden:
    vlasisolatie</t>
      </text>
    </comment>
    <comment ref="U5" authorId="1" shapeId="0" xr:uid="{8D060156-9421-4B9B-91AC-01AC2A6AE9B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Bestaat niet meer, maar loonwerkersbedrijf zit nog in een aantal andere projecten: https://projecten.topsectorenergie.nl/projecten/van-grassnippers-naar-houtsnippers-27542 zie literatuur</t>
      </text>
    </comment>
    <comment ref="AF5" authorId="2" shapeId="0" xr:uid="{EF116D7C-4C64-4F7E-B7FC-9A9B5DDDD93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Indugras is niet meer, ECN is samengegaan met TNO</t>
      </text>
    </comment>
    <comment ref="AT5" authorId="3" shapeId="0" xr:uid="{424A8080-5037-45BB-B0FF-B6379A678DD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Nu biobrandstof (drogen, ontzouten) en veenvervanger</t>
      </text>
    </comment>
    <comment ref="L69" authorId="4" shapeId="0" xr:uid="{3B5F5224-D6AD-498F-81A9-DD4C2B61B791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Kosten en baten voor vers gras ingeschat, hooi afleveren zal meer opleveren maar ook meer kosten. </t>
        </r>
      </text>
    </comment>
    <comment ref="M69" authorId="4" shapeId="0" xr:uid="{4A3F7899-4B12-4F24-B835-2ED68EB76DE4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Baten (CO2 certificaten) en kosten (loonwerker) telefonisch via Restore Carbon (Paul Smits)</t>
        </r>
      </text>
    </comment>
  </commentList>
</comments>
</file>

<file path=xl/sharedStrings.xml><?xml version="1.0" encoding="utf-8"?>
<sst xmlns="http://schemas.openxmlformats.org/spreadsheetml/2006/main" count="2203" uniqueCount="569">
  <si>
    <t>Verwaardingstechnieken maaisel</t>
  </si>
  <si>
    <t>Techniek</t>
  </si>
  <si>
    <t>Bioraffinage</t>
  </si>
  <si>
    <t>Water / bodemverbeteraar</t>
  </si>
  <si>
    <t>Thermo-chemische omzetting</t>
  </si>
  <si>
    <t>Eiwit-extractie</t>
  </si>
  <si>
    <r>
      <t xml:space="preserve">lignocellulose-extractie
</t>
    </r>
    <r>
      <rPr>
        <sz val="9"/>
        <color theme="1"/>
        <rFont val="Calibri"/>
        <family val="2"/>
        <scheme val="minor"/>
      </rPr>
      <t>Hydrothermal liquefaction</t>
    </r>
  </si>
  <si>
    <t>Vezel-extractie</t>
  </si>
  <si>
    <t>Sap-extractie</t>
  </si>
  <si>
    <t>Zetmeel-extractie</t>
  </si>
  <si>
    <t>Direct gebruik</t>
  </si>
  <si>
    <t>Teelt</t>
  </si>
  <si>
    <t>Composteren</t>
  </si>
  <si>
    <t>Vergisting</t>
  </si>
  <si>
    <t>Fermentatie</t>
  </si>
  <si>
    <t>Verbranden</t>
  </si>
  <si>
    <t>Vergassen</t>
  </si>
  <si>
    <t>….</t>
  </si>
  <si>
    <t>Pyrolyse</t>
  </si>
  <si>
    <t>Torrefactie</t>
  </si>
  <si>
    <t>Product</t>
  </si>
  <si>
    <t>Veevoer</t>
  </si>
  <si>
    <t>Bindmiddel</t>
  </si>
  <si>
    <t>Tegels en wegen</t>
  </si>
  <si>
    <t>Isolatiemateriaal</t>
  </si>
  <si>
    <t>Papier</t>
  </si>
  <si>
    <t>Producten, composieten</t>
  </si>
  <si>
    <t>Meubels</t>
  </si>
  <si>
    <t>Biogas</t>
  </si>
  <si>
    <t>'Strooizout'</t>
  </si>
  <si>
    <t>Bioplastic</t>
  </si>
  <si>
    <t>Bouwmateriaal</t>
  </si>
  <si>
    <t>Zuiveren water</t>
  </si>
  <si>
    <t>Substraat</t>
  </si>
  <si>
    <t>Compost</t>
  </si>
  <si>
    <t>Digestaat</t>
  </si>
  <si>
    <t>Bio-ethanol</t>
  </si>
  <si>
    <t>Warmte</t>
  </si>
  <si>
    <t>Syngas</t>
  </si>
  <si>
    <t>Biochar</t>
  </si>
  <si>
    <t>Lignine olie</t>
  </si>
  <si>
    <t>Bio-olie</t>
  </si>
  <si>
    <t>Producent</t>
  </si>
  <si>
    <t>Grassa!</t>
  </si>
  <si>
    <t>…</t>
  </si>
  <si>
    <t>NTP-groep</t>
  </si>
  <si>
    <t>Biobound</t>
  </si>
  <si>
    <t>Newfoss</t>
  </si>
  <si>
    <t>Millvision</t>
  </si>
  <si>
    <t>NPSP</t>
  </si>
  <si>
    <t>Bambooder</t>
  </si>
  <si>
    <t>Vepa</t>
  </si>
  <si>
    <t>Harvestagg</t>
  </si>
  <si>
    <t>Grass2grit</t>
  </si>
  <si>
    <t>Diversen</t>
  </si>
  <si>
    <t>Netics</t>
  </si>
  <si>
    <t>Aquafarm</t>
  </si>
  <si>
    <t>Verbruggen Paddestoelen</t>
  </si>
  <si>
    <t>ECN, Indugras</t>
  </si>
  <si>
    <t>Vertoro</t>
  </si>
  <si>
    <t>BTG-BTL</t>
  </si>
  <si>
    <t>BioTorTech</t>
  </si>
  <si>
    <t>Website</t>
  </si>
  <si>
    <t>https://grassa.nl/</t>
  </si>
  <si>
    <t xml:space="preserve"> </t>
  </si>
  <si>
    <t xml:space="preserve"> https://www.ntpgroep.nl/nieuws/circulariteit-realiseer-je-samen/</t>
  </si>
  <si>
    <t>http://biobound.nl/producten/circulaire-biobased-betontegels/</t>
  </si>
  <si>
    <t>https://newfoss.com</t>
  </si>
  <si>
    <t>https://www.millvision.eu/</t>
  </si>
  <si>
    <t>http://www.npsp.nl/page.asp?ID=14</t>
  </si>
  <si>
    <t>http://www.bambooder.nl/</t>
  </si>
  <si>
    <t>https://vepa.nl/duurzaam/recyclen-van-pet-flessen/</t>
  </si>
  <si>
    <t>http://www.harvestagg.nl/green-goods-concept1.html</t>
  </si>
  <si>
    <t>https://www.grass2grit.nl/</t>
  </si>
  <si>
    <t>http://www.hollandbioplastics.nl/wat-zijn-bioplastics/productenverwerkers/</t>
  </si>
  <si>
    <t xml:space="preserve">http://www.netics.nl/producten/bouwen-met-baggerspecie/ </t>
  </si>
  <si>
    <t>https://www.aquafarm.nl/</t>
  </si>
  <si>
    <t>http://verbruggen-paddestoelen.nl/innovatie/</t>
  </si>
  <si>
    <t xml:space="preserve">https://www.ecn.nl/publications/PdfFetch.aspx?nr=ECN-L--13-038
http://ecp-biomass.eu/node/144 </t>
  </si>
  <si>
    <t>https://www.vertoro.nl/</t>
  </si>
  <si>
    <t>http://www.biotortech.com/</t>
  </si>
  <si>
    <t>http://edepot.wur.nl/329929</t>
  </si>
  <si>
    <t>Inzetbaarheid maaisel</t>
  </si>
  <si>
    <t>Bermgras</t>
  </si>
  <si>
    <t>✔</t>
  </si>
  <si>
    <t>?</t>
  </si>
  <si>
    <t>✘</t>
  </si>
  <si>
    <r>
      <t xml:space="preserve">✔
</t>
    </r>
    <r>
      <rPr>
        <sz val="8"/>
        <rFont val="Calibri"/>
        <family val="2"/>
        <scheme val="minor"/>
      </rPr>
      <t>(drogen, verkleinen/ontsluiten)</t>
    </r>
  </si>
  <si>
    <r>
      <t xml:space="preserve">✘
</t>
    </r>
    <r>
      <rPr>
        <sz val="8"/>
        <rFont val="Calibri"/>
        <family val="2"/>
        <scheme val="minor"/>
      </rPr>
      <t>(voorbehandeling nodig)</t>
    </r>
  </si>
  <si>
    <r>
      <t xml:space="preserve">✔
</t>
    </r>
    <r>
      <rPr>
        <sz val="8"/>
        <rFont val="Calibri"/>
        <family val="2"/>
        <scheme val="minor"/>
      </rPr>
      <t>(Ontwateren)</t>
    </r>
  </si>
  <si>
    <t>Riet</t>
  </si>
  <si>
    <t>Andere kruidachtige vegetatie</t>
  </si>
  <si>
    <t>Watervegetatie</t>
  </si>
  <si>
    <r>
      <t xml:space="preserve">✘
</t>
    </r>
    <r>
      <rPr>
        <sz val="8"/>
        <rFont val="Calibri"/>
        <family val="2"/>
        <scheme val="minor"/>
      </rPr>
      <t>(Wassen/drogen)</t>
    </r>
  </si>
  <si>
    <r>
      <t xml:space="preserve">✔
</t>
    </r>
    <r>
      <rPr>
        <sz val="8"/>
        <rFont val="Calibri"/>
        <family val="2"/>
        <scheme val="minor"/>
      </rPr>
      <t>(baggerspeci)</t>
    </r>
  </si>
  <si>
    <r>
      <t xml:space="preserve">✔
</t>
    </r>
    <r>
      <rPr>
        <sz val="8"/>
        <rFont val="Calibri"/>
        <family val="2"/>
        <scheme val="minor"/>
      </rPr>
      <t>(Waterplanten met zuiverend effect, o.a. zegge en kroosvaren)</t>
    </r>
  </si>
  <si>
    <t>Ander biomassa</t>
  </si>
  <si>
    <r>
      <rPr>
        <b/>
        <sz val="11"/>
        <color rgb="FF00B050"/>
        <rFont val="Calibri"/>
        <family val="2"/>
        <scheme val="minor"/>
      </rPr>
      <t>✔</t>
    </r>
    <r>
      <rPr>
        <sz val="8"/>
        <rFont val="Calibri"/>
        <family val="2"/>
        <scheme val="minor"/>
      </rPr>
      <t xml:space="preserve">
(Mest)</t>
    </r>
  </si>
  <si>
    <r>
      <t xml:space="preserve">✔
</t>
    </r>
    <r>
      <rPr>
        <sz val="8"/>
        <rFont val="Calibri"/>
        <family val="2"/>
        <scheme val="minor"/>
      </rPr>
      <t>(Bamboevezels)</t>
    </r>
  </si>
  <si>
    <r>
      <rPr>
        <b/>
        <sz val="11"/>
        <color rgb="FF00B050"/>
        <rFont val="Calibri"/>
        <family val="2"/>
        <scheme val="minor"/>
      </rPr>
      <t>✔</t>
    </r>
    <r>
      <rPr>
        <sz val="8"/>
        <rFont val="Calibri"/>
        <family val="2"/>
        <scheme val="minor"/>
      </rPr>
      <t xml:space="preserve">
(Biomassa met suiker/ zetmeel of veel cellulose)</t>
    </r>
  </si>
  <si>
    <r>
      <rPr>
        <b/>
        <sz val="11"/>
        <color rgb="FF00B050"/>
        <rFont val="Calibri"/>
        <family val="2"/>
        <scheme val="minor"/>
      </rPr>
      <t>✔</t>
    </r>
    <r>
      <rPr>
        <sz val="8"/>
        <rFont val="Calibri"/>
        <family val="2"/>
        <scheme val="minor"/>
      </rPr>
      <t xml:space="preserve">
(lignine uit bio-thanolproductie)</t>
    </r>
  </si>
  <si>
    <r>
      <rPr>
        <b/>
        <sz val="11"/>
        <color rgb="FF00B050"/>
        <rFont val="Calibri"/>
        <family val="2"/>
        <scheme val="minor"/>
      </rPr>
      <t>✔</t>
    </r>
    <r>
      <rPr>
        <sz val="8"/>
        <rFont val="Calibri"/>
        <family val="2"/>
        <scheme val="minor"/>
      </rPr>
      <t xml:space="preserve">
(Wood (residues),
SRF, Agro residues)</t>
    </r>
  </si>
  <si>
    <t>Schaalgrootte (ton/installatie)</t>
  </si>
  <si>
    <t>Logistiek</t>
  </si>
  <si>
    <t>Technology Readiness Level (TRL)</t>
  </si>
  <si>
    <t>7</t>
  </si>
  <si>
    <t>3/4</t>
  </si>
  <si>
    <t>4</t>
  </si>
  <si>
    <t>5</t>
  </si>
  <si>
    <t>7/8</t>
  </si>
  <si>
    <t>1/2</t>
  </si>
  <si>
    <t>3</t>
  </si>
  <si>
    <t>5/6</t>
  </si>
  <si>
    <t>9</t>
  </si>
  <si>
    <t>8/9</t>
  </si>
  <si>
    <t>4/5</t>
  </si>
  <si>
    <t>8</t>
  </si>
  <si>
    <t>Duurzaamheid</t>
  </si>
  <si>
    <r>
      <t xml:space="preserve">Toegevoerde waarde
</t>
    </r>
    <r>
      <rPr>
        <sz val="10"/>
        <color theme="1"/>
        <rFont val="Calibri"/>
        <family val="2"/>
        <scheme val="minor"/>
      </rPr>
      <t>(Waarde pyramide)</t>
    </r>
  </si>
  <si>
    <t>+++</t>
  </si>
  <si>
    <t>++</t>
  </si>
  <si>
    <t>+</t>
  </si>
  <si>
    <t>Vermeden emissies</t>
  </si>
  <si>
    <t>Emissie (kg CO2-eq)</t>
  </si>
  <si>
    <t>Alternatieve route</t>
  </si>
  <si>
    <t>Soja</t>
  </si>
  <si>
    <t>Bitumen (aardolie)</t>
  </si>
  <si>
    <t>Stalen wapening</t>
  </si>
  <si>
    <t>Papiervezels</t>
  </si>
  <si>
    <t>Glasvezel</t>
  </si>
  <si>
    <t>Elek. (grijs)</t>
  </si>
  <si>
    <t>Warmte (STEG)</t>
  </si>
  <si>
    <t>Strooi zout</t>
  </si>
  <si>
    <t>Beton</t>
  </si>
  <si>
    <t>RWZI</t>
  </si>
  <si>
    <t>Kunstmest</t>
  </si>
  <si>
    <t>Benzine</t>
  </si>
  <si>
    <t xml:space="preserve"> Steenkool 	</t>
  </si>
  <si>
    <t>Stookolie</t>
  </si>
  <si>
    <t>Steenkool</t>
  </si>
  <si>
    <t>Baten (€/ton input)</t>
  </si>
  <si>
    <t>Kosten (€/ton input)</t>
  </si>
  <si>
    <t>Kosten (€/jaar)</t>
  </si>
  <si>
    <t>EBITDA (€/ton input)</t>
  </si>
  <si>
    <t>Investeringskosten (€/ton input)</t>
  </si>
  <si>
    <t>Eenvoudige terugverdientijd</t>
  </si>
  <si>
    <t>Gerichter maaien</t>
  </si>
  <si>
    <t>Transport</t>
  </si>
  <si>
    <t>Opslag</t>
  </si>
  <si>
    <t>Inkuilen</t>
  </si>
  <si>
    <t>Wassen</t>
  </si>
  <si>
    <t>Afvoeren afval/vuil</t>
  </si>
  <si>
    <t>Verkleinen</t>
  </si>
  <si>
    <t>Persen naar ca. 50% d.s.</t>
  </si>
  <si>
    <t>Drogen naar ca. 90% d.s.</t>
  </si>
  <si>
    <t xml:space="preserve">Opwerken	</t>
  </si>
  <si>
    <t>Extractie vezel</t>
  </si>
  <si>
    <t>Extractie sap/eiwit/fosfaat</t>
  </si>
  <si>
    <t xml:space="preserve">Ontsluiting </t>
  </si>
  <si>
    <t>Compostering</t>
  </si>
  <si>
    <t>Maatschappelijke meerwaarde</t>
  </si>
  <si>
    <t>Data</t>
  </si>
  <si>
    <t>Unit</t>
  </si>
  <si>
    <t>Factor</t>
  </si>
  <si>
    <t>Oppervlakte Nederland</t>
  </si>
  <si>
    <t xml:space="preserve">km2 </t>
  </si>
  <si>
    <t>Beschikbaar maaisel</t>
  </si>
  <si>
    <t>ton/jaar (a.r.)</t>
  </si>
  <si>
    <t>Bron:</t>
  </si>
  <si>
    <t>https://www.ecn.nl/phyllis2/Browse/Standard/ECN-Phyllis#verge%20grass</t>
  </si>
  <si>
    <t>ton/km2 (a.r.)</t>
  </si>
  <si>
    <t>LHV</t>
  </si>
  <si>
    <t>Natural gas</t>
  </si>
  <si>
    <t>MJ/m3</t>
  </si>
  <si>
    <t>Bermgras (ar)</t>
  </si>
  <si>
    <t>MJ/kg</t>
  </si>
  <si>
    <t>Bermgras (dry)</t>
  </si>
  <si>
    <t>MJ/L</t>
  </si>
  <si>
    <t>Char</t>
  </si>
  <si>
    <t>CO2-eq emissions</t>
  </si>
  <si>
    <t>Diesel</t>
  </si>
  <si>
    <t>kg CO2 eq/litre</t>
  </si>
  <si>
    <t>consump. truck (loaded)</t>
  </si>
  <si>
    <t>litre/km</t>
  </si>
  <si>
    <t>Gewicht lading</t>
  </si>
  <si>
    <t>ton</t>
  </si>
  <si>
    <t xml:space="preserve">http://edepot.wur.nl/148665 </t>
  </si>
  <si>
    <t>(compost)</t>
  </si>
  <si>
    <t>Energie productie</t>
  </si>
  <si>
    <t>Elektriciteit (biomasa)</t>
  </si>
  <si>
    <t>kg CO2eq/kWh</t>
  </si>
  <si>
    <t>kg CO2 eq/ GJ</t>
  </si>
  <si>
    <t>http://www4.ncsu.edu/~richardv/documents/ACSSERMACSpresent102911presented.pdf</t>
  </si>
  <si>
    <t>(char)</t>
  </si>
  <si>
    <t>Warmte (biomassa)</t>
  </si>
  <si>
    <t>kg CO2 eq/GJ</t>
  </si>
  <si>
    <t>kg CO2 eq/ton</t>
  </si>
  <si>
    <t>Pyrolyseolie</t>
  </si>
  <si>
    <t>Bio-ehtanol</t>
  </si>
  <si>
    <t>CH4 en N2O</t>
  </si>
  <si>
    <t>kg CO2 eq/ton maaisel</t>
  </si>
  <si>
    <t>Warmte (STEG-centrale)</t>
  </si>
  <si>
    <t>Elektriciteit (grijs)</t>
  </si>
  <si>
    <t>kg CO2 eq/kWh</t>
  </si>
  <si>
    <t>kg CO2 eq/kg</t>
  </si>
  <si>
    <t>https://nmi-agro.nl/images/Rapport_1379-Samenvatting-en-conclusies.pdf</t>
  </si>
  <si>
    <t>(kunstmest)</t>
  </si>
  <si>
    <t>Bitumen</t>
  </si>
  <si>
    <t>kg CO2 eq/ton bitumen</t>
  </si>
  <si>
    <t>http://edepot.wur.nl/121095</t>
  </si>
  <si>
    <t>(Soja)</t>
  </si>
  <si>
    <t>Staal</t>
  </si>
  <si>
    <t>kg CO2 eq/ton staal</t>
  </si>
  <si>
    <t>http://www.escher.nl/getmedia/69a20031-3b01-48cc-bb1a-adcc1bfb2e98/20141205-Ketenanalyse-bruggen-versie-1-2-definitief.pdf.aspx</t>
  </si>
  <si>
    <t>(glasvezel)</t>
  </si>
  <si>
    <t>kg CO2 eq/ton beton</t>
  </si>
  <si>
    <t>kg CO2 eq/ton mineraal</t>
  </si>
  <si>
    <t>Glasvezel composiet</t>
  </si>
  <si>
    <t>kg CO2 eq/ton glasvezel</t>
  </si>
  <si>
    <t>Soja (50% eiwit)</t>
  </si>
  <si>
    <t>kg CO2 eq/ton soja</t>
  </si>
  <si>
    <t>Zout</t>
  </si>
  <si>
    <t>kg CO2 eq/ton zout</t>
  </si>
  <si>
    <t>Kosten</t>
  </si>
  <si>
    <t>Elektriciteit</t>
  </si>
  <si>
    <t>Transportkosten</t>
  </si>
  <si>
    <t>Afzet compost</t>
  </si>
  <si>
    <t>file:///C:/Users/dennis/Downloads/Dennis%20Froeling%20HVC%20Presentatie%20bermgrasverwerking%20Stadswerk%20170202.pdf</t>
  </si>
  <si>
    <t>https://mineralvalley.nl/wp-content/uploads/sites/3/2018/07/Draft-rapport-bermmaaisel.pdf</t>
  </si>
  <si>
    <t>http://www.innovatieagroennatuur.nl/sitemanager/downloadattachment.php?id=1lOMbyQa2hHMJu4FQYSurK</t>
  </si>
  <si>
    <t>Water vegetatie</t>
  </si>
  <si>
    <t>Overig</t>
  </si>
  <si>
    <t>kg</t>
  </si>
  <si>
    <t>€ / ton bermgras d.s.</t>
  </si>
  <si>
    <t>€ / ton product d.s.</t>
  </si>
  <si>
    <t>Opwerken</t>
  </si>
  <si>
    <t>Vezel</t>
  </si>
  <si>
    <t>ton vezel d.s.</t>
  </si>
  <si>
    <t>Extractie sap / eiwit / mineralen / zout</t>
  </si>
  <si>
    <t>Eiwit H</t>
  </si>
  <si>
    <t>ton eiwit d.s.</t>
  </si>
  <si>
    <t>Ontsluiting</t>
  </si>
  <si>
    <t>Mineralen</t>
  </si>
  <si>
    <t>Sap : Eiwit L</t>
  </si>
  <si>
    <t>Investeringskosten</t>
  </si>
  <si>
    <t>Vaste O&amp;M kosten</t>
  </si>
  <si>
    <t>Baten</t>
  </si>
  <si>
    <t>Eiwitten</t>
  </si>
  <si>
    <t>Bron: Waarde groenresten, STOWA (2017)</t>
  </si>
  <si>
    <t>Vezels</t>
  </si>
  <si>
    <t>Bron: http://edepot.wur.nl/383545</t>
  </si>
  <si>
    <t>Laagwaardig</t>
  </si>
  <si>
    <t>Sappen</t>
  </si>
  <si>
    <r>
      <t xml:space="preserve">Mineralen </t>
    </r>
    <r>
      <rPr>
        <sz val="8"/>
        <color theme="1"/>
        <rFont val="Calibri"/>
        <family val="2"/>
        <scheme val="minor"/>
      </rPr>
      <t>(bodemverbeteraar)</t>
    </r>
  </si>
  <si>
    <r>
      <t xml:space="preserve">Suikerpolymeren </t>
    </r>
    <r>
      <rPr>
        <sz val="8"/>
        <color theme="1"/>
        <rFont val="Calibri"/>
        <family val="2"/>
        <scheme val="minor"/>
      </rPr>
      <t>(lignine, cellulose, hemicellulose)</t>
    </r>
  </si>
  <si>
    <t>Bron: http://www.sernoordnederland.nl/uploads/bestanden/aab24b3b-d2fa-4651-b6e2-7e871c3c6ae1</t>
  </si>
  <si>
    <t>Brandstoffen</t>
  </si>
  <si>
    <t>SDE+</t>
  </si>
  <si>
    <t>(Alles)vergisting</t>
  </si>
  <si>
    <t>Vergassing</t>
  </si>
  <si>
    <t>Torrefactie/pyrolyse/fermentatie</t>
  </si>
  <si>
    <t>Energieverbruik</t>
  </si>
  <si>
    <t>Verbruik (kWh/ton nat)</t>
  </si>
  <si>
    <t>Eiwit/sap/zout-extractie</t>
  </si>
  <si>
    <t>http://edepot.wur.nl/453178</t>
  </si>
  <si>
    <t>Opbrengst (GJ/ton nat)</t>
  </si>
  <si>
    <t>Thermische verwerking</t>
  </si>
  <si>
    <t>Rendement   elek.</t>
  </si>
  <si>
    <t>warmte</t>
  </si>
  <si>
    <t>Eigen verbruik</t>
  </si>
  <si>
    <t>Vergisting (50°C)</t>
  </si>
  <si>
    <t>Gas (warmte)</t>
  </si>
  <si>
    <t>Gas (elek.)</t>
  </si>
  <si>
    <t>HTL (300°C)</t>
  </si>
  <si>
    <t>Fermentatie (70°C)</t>
  </si>
  <si>
    <t>Verbranden (800°C)</t>
  </si>
  <si>
    <t>Vergassen (800°C)</t>
  </si>
  <si>
    <t>http://ecp-biomass.eu/node/83</t>
  </si>
  <si>
    <t>Pyrolyse (500°C)</t>
  </si>
  <si>
    <t>Torrefactie (300°C)</t>
  </si>
  <si>
    <t>energie voor drogen bermgras van 40% naar 90% ds</t>
  </si>
  <si>
    <t>Bodemverbeteraar</t>
  </si>
  <si>
    <t>Bokashi</t>
  </si>
  <si>
    <t>Toelichting criteria en waarderingsfactoren</t>
  </si>
  <si>
    <t>Weegfactor</t>
  </si>
  <si>
    <t>Instructie</t>
  </si>
  <si>
    <t>Wat is de inzetbaarheid van deze technologie qua diversiteit aan soorten maaisel (bijv. gras, riet, waterplanten, …)?</t>
  </si>
  <si>
    <t>Uitsluitend 1 type</t>
  </si>
  <si>
    <t>Meer dan 1 type</t>
  </si>
  <si>
    <t>Alles</t>
  </si>
  <si>
    <t>100 - 5.000</t>
  </si>
  <si>
    <t>5.000 - 20.000</t>
  </si>
  <si>
    <t>20.000 - 50.000</t>
  </si>
  <si>
    <t>50.000 - 200.000</t>
  </si>
  <si>
    <t>Is de technologie flexibel of modulair uit te rollen?</t>
  </si>
  <si>
    <t>Nee</t>
  </si>
  <si>
    <t>Met aanzienlijke randvoorwaarden</t>
  </si>
  <si>
    <t>Met enige randvoorwaarden</t>
  </si>
  <si>
    <t>Ja</t>
  </si>
  <si>
    <t>Wat is het Technology Readiness Level (TRL) volgens de EU criteria?</t>
  </si>
  <si>
    <t>0-3</t>
  </si>
  <si>
    <t>4-5</t>
  </si>
  <si>
    <t>6-7</t>
  </si>
  <si>
    <t>8-9</t>
  </si>
  <si>
    <t>50-100</t>
  </si>
  <si>
    <t>Welke (natuurlijke) bronnen vervangt of spaart dit product of deze technologie?</t>
  </si>
  <si>
    <t>geen</t>
  </si>
  <si>
    <t>Landbouwareaal</t>
  </si>
  <si>
    <t>Bosareaal</t>
  </si>
  <si>
    <t>Fossiel</t>
  </si>
  <si>
    <t>Op welk niveau in de waarde piramide bevindt zich dit product of de technologie?</t>
  </si>
  <si>
    <t>Energie</t>
  </si>
  <si>
    <t>Aanzienlijk of groot aantal beperkingen</t>
  </si>
  <si>
    <t>Aanzienlijk, maar overkomelijk</t>
  </si>
  <si>
    <t>Geen tot nihil</t>
  </si>
  <si>
    <t>Is er op dit moment of korte termijn concrete vraag uit de markt voor dit product?</t>
  </si>
  <si>
    <t>Nee, wellicht op langere termijn</t>
  </si>
  <si>
    <t>Mogelijk op middellange termijn</t>
  </si>
  <si>
    <t>Ja, met enige randvoorwaarden</t>
  </si>
  <si>
    <t>Ja, direct</t>
  </si>
  <si>
    <t>Kunnen Overheden een rol nemen als Launching Customer om marktintroductie te versnellen?</t>
  </si>
  <si>
    <t>waarde gras (composteren)</t>
  </si>
  <si>
    <t>gatefee?</t>
  </si>
  <si>
    <t>schaalgrootte</t>
  </si>
  <si>
    <t>Alle lichtgele vakjes proberen te updaten</t>
  </si>
  <si>
    <t>inkomsten</t>
  </si>
  <si>
    <t>via zoeken naar publicaties, praten met Ronald, praten met Ralf?</t>
  </si>
  <si>
    <t>opbrengst (per ton natte input)</t>
  </si>
  <si>
    <t>eiwit</t>
  </si>
  <si>
    <t>sap voor vergisting</t>
  </si>
  <si>
    <t>afvalwater</t>
  </si>
  <si>
    <t>calcium fosfaat</t>
  </si>
  <si>
    <t>waterdamp</t>
  </si>
  <si>
    <t>totaal</t>
  </si>
  <si>
    <t>toegevoegde waarde</t>
  </si>
  <si>
    <t>Bio char</t>
  </si>
  <si>
    <t>Afvalwater</t>
  </si>
  <si>
    <t>BioBound</t>
  </si>
  <si>
    <t>isolatie materiaal</t>
  </si>
  <si>
    <t>Vezel voor papier</t>
  </si>
  <si>
    <t>Biocomposiet</t>
  </si>
  <si>
    <t xml:space="preserve">Compost </t>
  </si>
  <si>
    <t xml:space="preserve">Digestaat </t>
  </si>
  <si>
    <t>veevoer</t>
  </si>
  <si>
    <t>Bio-oil</t>
  </si>
  <si>
    <t>Beheerder</t>
  </si>
  <si>
    <t>Maaisel per type</t>
  </si>
  <si>
    <t>o.b.v.</t>
  </si>
  <si>
    <t>d.s.</t>
  </si>
  <si>
    <t>Riet/ruigte</t>
  </si>
  <si>
    <t>Potentieel</t>
  </si>
  <si>
    <t>Beschikbaar</t>
  </si>
  <si>
    <t>Rijkswaterstaat</t>
  </si>
  <si>
    <t>Eigen beheer</t>
  </si>
  <si>
    <t>a.r.</t>
  </si>
  <si>
    <t>Waterschappen</t>
  </si>
  <si>
    <t>Staatsbosbeheer</t>
  </si>
  <si>
    <t>Gemiddelde NL</t>
  </si>
  <si>
    <t>Totaal</t>
  </si>
  <si>
    <t>Waterstaatkundig beheer</t>
  </si>
  <si>
    <t>ton/jaar a.r.</t>
  </si>
  <si>
    <t>ton/jaar d.s.</t>
  </si>
  <si>
    <t>bermgras</t>
  </si>
  <si>
    <t>Staatbosbeheer</t>
  </si>
  <si>
    <t>Veevoer/bodemverbeteraar</t>
  </si>
  <si>
    <t>riet</t>
  </si>
  <si>
    <t>Innovatieve ontwikkelingen</t>
  </si>
  <si>
    <t>watervegetatie</t>
  </si>
  <si>
    <t>TOTAAL</t>
  </si>
  <si>
    <t>overig</t>
  </si>
  <si>
    <t>Vuil</t>
  </si>
  <si>
    <t>(% van tot. massa)</t>
  </si>
  <si>
    <t>Water gehalte</t>
  </si>
  <si>
    <t>As 
(excl. Los zand/klei)</t>
  </si>
  <si>
    <t>Organische stof (excl. As)</t>
  </si>
  <si>
    <t>Droge stof</t>
  </si>
  <si>
    <t>Resterend na vuilverwijdering</t>
  </si>
  <si>
    <t>Resterend bij 50% d.s. 
(incl. vuilvrwd.)</t>
  </si>
  <si>
    <t>Resterend bij 90% d.s. 
(incl. vuilvrwd.)</t>
  </si>
  <si>
    <t>Stookwaarde
a.r.</t>
  </si>
  <si>
    <t>Stookwaarde 
50% d.s.</t>
  </si>
  <si>
    <t>Stookwaarde 
90% d.s.</t>
  </si>
  <si>
    <t>Stookwaarde 
100% d.s.</t>
  </si>
  <si>
    <t>Sap</t>
  </si>
  <si>
    <t>Lignocellulose</t>
  </si>
  <si>
    <t>Cellulose</t>
  </si>
  <si>
    <t>Hemicellulose</t>
  </si>
  <si>
    <t>Lignine</t>
  </si>
  <si>
    <t>Gemiddeld</t>
  </si>
  <si>
    <t>Vuil 
(% van tot. massa)</t>
  </si>
  <si>
    <t>Stookwaarde</t>
  </si>
  <si>
    <t>Kosten en opbrengsten kwaliteiten vezel en eiwit</t>
  </si>
  <si>
    <t>bron:</t>
  </si>
  <si>
    <t>http://edepot.wur.nl/425160</t>
  </si>
  <si>
    <t>Opbrengsten componenten</t>
  </si>
  <si>
    <t>http://edepot.wur.nl/383545</t>
  </si>
  <si>
    <t>Component</t>
  </si>
  <si>
    <t>Aandeel component</t>
  </si>
  <si>
    <t>Opbrengst per ton maaisel</t>
  </si>
  <si>
    <t>Opbrengst per ton component</t>
  </si>
  <si>
    <t>s1</t>
  </si>
  <si>
    <t>ton d.s.</t>
  </si>
  <si>
    <t xml:space="preserve">s3 </t>
  </si>
  <si>
    <t>Opbrengst</t>
  </si>
  <si>
    <t xml:space="preserve">s2 </t>
  </si>
  <si>
    <t>s4</t>
  </si>
  <si>
    <t>Mineralen (fosfaat)</t>
  </si>
  <si>
    <t>Suikerpolymeer</t>
  </si>
  <si>
    <t>Eiwit</t>
  </si>
  <si>
    <t>https://www.indexmundi.com</t>
  </si>
  <si>
    <t>Referentieproduct</t>
  </si>
  <si>
    <t>Prijs/ton</t>
  </si>
  <si>
    <t>Prijs/ton component</t>
  </si>
  <si>
    <t>Sojabeans</t>
  </si>
  <si>
    <t>Mineralen(fosfaat)</t>
  </si>
  <si>
    <t xml:space="preserve">Phosphate rock </t>
  </si>
  <si>
    <t>Suikerpolymeer (lignin)</t>
  </si>
  <si>
    <t>Wood pulp</t>
  </si>
  <si>
    <t>De regering actualiseert de prijzen van biodiesel en bio-ethanol in oktober</t>
  </si>
  <si>
    <t>LEI - Prijzen</t>
  </si>
  <si>
    <t>https://www.bo-akkerbouw.nl/dit-doen-wij/programma-onderzoek-en-innovatie/kennisakker</t>
  </si>
  <si>
    <t>Syngas Price - Historical &amp; Current | Intratec.us</t>
  </si>
  <si>
    <t>https://www.intratec.us/solutions/primary-commodity-prices/commodity/syngas-prices</t>
  </si>
  <si>
    <t>Productie en karakterisering van bokashi; resultaten van praktijkpilots op zeven bedrijven. NMI, 2021</t>
  </si>
  <si>
    <t>Bioblocks</t>
  </si>
  <si>
    <t>https://bioblocks.nl/</t>
  </si>
  <si>
    <r>
      <t xml:space="preserve">✔
</t>
    </r>
    <r>
      <rPr>
        <sz val="8"/>
        <rFont val="Calibri"/>
        <family val="2"/>
        <scheme val="minor"/>
      </rPr>
      <t>(kraggen en rietplagsel)</t>
    </r>
  </si>
  <si>
    <t>GR4SS</t>
  </si>
  <si>
    <t>https://d4.nl/bermgrasvergisting/</t>
  </si>
  <si>
    <t>Zijn er voor dit product wettelijke of regelgevende beperkingen te verwachten? Bijvoorbeeld afvalstoffenwetgeving, bouwbesluit, GMP+, …</t>
  </si>
  <si>
    <t>Agricycling</t>
  </si>
  <si>
    <t>https://agricycling.nl/content/uploads/2025/09/Maatschappelijke-rapportage-Agricycling.pdf</t>
  </si>
  <si>
    <t>Diverse</t>
  </si>
  <si>
    <t>Biomeiler</t>
  </si>
  <si>
    <t>https://biomeiler.nl/</t>
  </si>
  <si>
    <t xml:space="preserve">https://topsectorenergie.nl/documents/90/TKI_Nieuw_Gas-BTG_openbaar_eindrapport_vergassing_11_maart_2021_kaft_en_WCAG_-_210301.pdf </t>
  </si>
  <si>
    <t>6/7</t>
  </si>
  <si>
    <t>Millvision, Greenhub Zuid-Holland</t>
  </si>
  <si>
    <t xml:space="preserve">https://greenhub-zuidholland.nl/ </t>
  </si>
  <si>
    <t>Comysect</t>
  </si>
  <si>
    <t>https://www.winnovatie.nl/innovaties-openbaar/2417339.aspx</t>
  </si>
  <si>
    <t>Heemskerk - voor de moderne melkveehouderij - für die moderne Milchviehhaltung - for modern dairy farming - pour l'élevage laitier moderne</t>
  </si>
  <si>
    <t>Beton prijs | Prijs per m3 [2026]</t>
  </si>
  <si>
    <t>Dichtheid van beton: de eigenschappen en betekenis ervan begrijpen - Baetro</t>
  </si>
  <si>
    <t>https://www.btg-bioliquids.com/</t>
  </si>
  <si>
    <t>TorrCoal, nu perpetual next</t>
  </si>
  <si>
    <t>https://perpetualnext.com/actueel/persbericht-perpetual-next-integreert-torrcoal-en-vormt-de-grootste-mondiale-speler-in-duurzame-technologie-om-fossiele-kolen-te-vervangen/</t>
  </si>
  <si>
    <t>TORWASH</t>
  </si>
  <si>
    <t>olifantengras</t>
  </si>
  <si>
    <t>Synvalor/Bdura/HoSt/EGA</t>
  </si>
  <si>
    <t>Toepassing</t>
  </si>
  <si>
    <t>Direct</t>
  </si>
  <si>
    <t>Sap/vezel/eiwit extractie</t>
  </si>
  <si>
    <t>Composiet</t>
  </si>
  <si>
    <t>Hooi</t>
  </si>
  <si>
    <t>Voedermiddel</t>
  </si>
  <si>
    <t>Bouwblokken</t>
  </si>
  <si>
    <t>Vezel extractie</t>
  </si>
  <si>
    <t>Verbranding</t>
  </si>
  <si>
    <t>as (char bodemverbeteraar)</t>
  </si>
  <si>
    <t>vraag ronald</t>
  </si>
  <si>
    <t xml:space="preserve">https://www.mestverwaarding.nl/kenniscentrum/5049/afzetzekerheid-voor-groen-gas-is-groter-dan-voor-stroom#:~:text=DLV%20Advies%20berekende%20een% </t>
  </si>
  <si>
    <t>biogas 55-60% methaan</t>
  </si>
  <si>
    <t>Veenvervanger</t>
  </si>
  <si>
    <t>Bermgras (torrified)</t>
  </si>
  <si>
    <t>Bio-ethanol/pyrolyseolie</t>
  </si>
  <si>
    <t>#2273</t>
  </si>
  <si>
    <t>LHV Wood char</t>
  </si>
  <si>
    <t>#1859</t>
  </si>
  <si>
    <t>LHV carbocol coal</t>
  </si>
  <si>
    <t>#1468</t>
  </si>
  <si>
    <t>LHV diesel oil</t>
  </si>
  <si>
    <t>#1470</t>
  </si>
  <si>
    <t>LHV motor gasoline</t>
  </si>
  <si>
    <t>Voedereiwit, vezel, sap</t>
  </si>
  <si>
    <t>Biogas, digestaat</t>
  </si>
  <si>
    <t>Syngas, bio-olie, biochar</t>
  </si>
  <si>
    <t>Biochar, syngas</t>
  </si>
  <si>
    <t>Draagt een project met deze technologie bij aan het thema "Samenwerken in directe regio" of "Kleine kringloop"?</t>
  </si>
  <si>
    <r>
      <t xml:space="preserve">Wat is de inzetbaarheid van deze technologie qua </t>
    </r>
    <r>
      <rPr>
        <b/>
        <sz val="12"/>
        <color theme="1"/>
        <rFont val="Calibri"/>
        <family val="2"/>
        <scheme val="minor"/>
      </rPr>
      <t xml:space="preserve">diversiteit aan soorten maaisel </t>
    </r>
    <r>
      <rPr>
        <sz val="12"/>
        <color theme="1"/>
        <rFont val="Calibri"/>
        <family val="2"/>
        <scheme val="minor"/>
      </rPr>
      <t>(bijv. gras, riet, waterplanten, …)?</t>
    </r>
  </si>
  <si>
    <r>
      <t xml:space="preserve">Is de technologie </t>
    </r>
    <r>
      <rPr>
        <b/>
        <sz val="12"/>
        <color theme="1"/>
        <rFont val="Calibri"/>
        <family val="2"/>
        <scheme val="minor"/>
      </rPr>
      <t>flexibel of modulair</t>
    </r>
    <r>
      <rPr>
        <sz val="12"/>
        <color theme="1"/>
        <rFont val="Calibri"/>
        <family val="2"/>
        <scheme val="minor"/>
      </rPr>
      <t xml:space="preserve"> uit te rollen?</t>
    </r>
  </si>
  <si>
    <r>
      <t xml:space="preserve">Wat is het </t>
    </r>
    <r>
      <rPr>
        <b/>
        <sz val="12"/>
        <color theme="1"/>
        <rFont val="Calibri"/>
        <family val="2"/>
        <scheme val="minor"/>
      </rPr>
      <t>Technology Readiness Level (TRL)</t>
    </r>
    <r>
      <rPr>
        <sz val="12"/>
        <color theme="1"/>
        <rFont val="Calibri"/>
        <family val="2"/>
        <scheme val="minor"/>
      </rPr>
      <t xml:space="preserve"> volgens de EU criteria?</t>
    </r>
  </si>
  <si>
    <r>
      <t xml:space="preserve">Welke </t>
    </r>
    <r>
      <rPr>
        <b/>
        <sz val="12"/>
        <color theme="1"/>
        <rFont val="Calibri"/>
        <family val="2"/>
        <scheme val="minor"/>
      </rPr>
      <t>(natuurlijke) bronnen</t>
    </r>
    <r>
      <rPr>
        <sz val="12"/>
        <color theme="1"/>
        <rFont val="Calibri"/>
        <family val="2"/>
        <scheme val="minor"/>
      </rPr>
      <t xml:space="preserve"> vervangt of spaart dit product of deze technologie?</t>
    </r>
  </si>
  <si>
    <r>
      <t xml:space="preserve">Op welk niveau in de </t>
    </r>
    <r>
      <rPr>
        <b/>
        <sz val="12"/>
        <color theme="1"/>
        <rFont val="Calibri"/>
        <family val="2"/>
        <scheme val="minor"/>
      </rPr>
      <t>waarde piramide</t>
    </r>
    <r>
      <rPr>
        <sz val="12"/>
        <color theme="1"/>
        <rFont val="Calibri"/>
        <family val="2"/>
        <scheme val="minor"/>
      </rPr>
      <t xml:space="preserve"> bevindt zich dit product of de technologie?</t>
    </r>
  </si>
  <si>
    <r>
      <t xml:space="preserve">Zijn er voor dit product </t>
    </r>
    <r>
      <rPr>
        <b/>
        <sz val="12"/>
        <color theme="1"/>
        <rFont val="Calibri"/>
        <family val="2"/>
        <scheme val="minor"/>
      </rPr>
      <t>wettelijke of regelgevende beperkingen</t>
    </r>
    <r>
      <rPr>
        <sz val="12"/>
        <color theme="1"/>
        <rFont val="Calibri"/>
        <family val="2"/>
        <scheme val="minor"/>
      </rPr>
      <t xml:space="preserve"> te verwachten? Bijvoorbeeld afvalstoffenwetgeving, bouwbesluit, GMP+, …</t>
    </r>
  </si>
  <si>
    <r>
      <t xml:space="preserve">Is er op dit moment of korte termijn </t>
    </r>
    <r>
      <rPr>
        <b/>
        <sz val="12"/>
        <color theme="1"/>
        <rFont val="Calibri"/>
        <family val="2"/>
        <scheme val="minor"/>
      </rPr>
      <t>concrete vraag uit de markt</t>
    </r>
    <r>
      <rPr>
        <sz val="12"/>
        <color theme="1"/>
        <rFont val="Calibri"/>
        <family val="2"/>
        <scheme val="minor"/>
      </rPr>
      <t xml:space="preserve"> voor dit product?</t>
    </r>
  </si>
  <si>
    <r>
      <t xml:space="preserve">Kunnen Overheden een rol nemen als </t>
    </r>
    <r>
      <rPr>
        <b/>
        <sz val="12"/>
        <color theme="1"/>
        <rFont val="Calibri"/>
        <family val="2"/>
        <scheme val="minor"/>
      </rPr>
      <t>Launching Customer</t>
    </r>
    <r>
      <rPr>
        <sz val="12"/>
        <color theme="1"/>
        <rFont val="Calibri"/>
        <family val="2"/>
        <scheme val="minor"/>
      </rPr>
      <t xml:space="preserve"> om marktintroductie te versnellen?</t>
    </r>
  </si>
  <si>
    <r>
      <t xml:space="preserve">Wat is de verwachte </t>
    </r>
    <r>
      <rPr>
        <b/>
        <sz val="12"/>
        <color theme="1"/>
        <rFont val="Calibri"/>
        <family val="2"/>
        <scheme val="minor"/>
      </rPr>
      <t>ongerealiseerde waarde van eindproducten</t>
    </r>
    <r>
      <rPr>
        <sz val="12"/>
        <color theme="1"/>
        <rFont val="Calibri"/>
        <family val="2"/>
        <scheme val="minor"/>
      </rPr>
      <t xml:space="preserve"> bij deze technologie?</t>
    </r>
  </si>
  <si>
    <t>Totaal score</t>
  </si>
  <si>
    <t>NIEUW</t>
  </si>
  <si>
    <r>
      <t xml:space="preserve">Toegevoerde waarde </t>
    </r>
    <r>
      <rPr>
        <sz val="10"/>
        <color theme="1"/>
        <rFont val="Calibri"/>
        <family val="2"/>
        <scheme val="minor"/>
      </rPr>
      <t>(Waarde pyramide)</t>
    </r>
  </si>
  <si>
    <t>Maaisel verwaarding Matrix 2026</t>
  </si>
  <si>
    <t>Hooi van eigen land</t>
  </si>
  <si>
    <t>Wat is de verwachte ongerealiseerde waarde van eindproducten bij deze technologie (€/ton)?</t>
  </si>
  <si>
    <t>Enigszins, maar overkomelijk</t>
  </si>
  <si>
    <t>Insecten substraat</t>
  </si>
  <si>
    <t>Mycoremediatie</t>
  </si>
  <si>
    <t>Bron(nen)</t>
  </si>
  <si>
    <t>https://ntp.nl/asfalt/grasfalt/</t>
  </si>
  <si>
    <t>NTP group</t>
  </si>
  <si>
    <t>https://bioblocks.nl/ &amp; https://biobound.nl/over-bio-bound/</t>
  </si>
  <si>
    <t>Gramitherm</t>
  </si>
  <si>
    <t>https://www.gramitherm.eu/nl</t>
  </si>
  <si>
    <t>Andere biomassa</t>
  </si>
  <si>
    <t>https://groenkennisnet.nl/nieuwsitem/bokashi-van-maaisel-tot-meerwaarde</t>
  </si>
  <si>
    <t>https://natuurlijkereststromen.nl/wp-content/uploads/2025/07/veenvervangers-voor-innovatieve-teeltsystemen-sign-maart-2023.pdf</t>
  </si>
  <si>
    <t>✔
(drogen, verkleinen/ontsluiten)</t>
  </si>
  <si>
    <t>✔
(Ontwateren)</t>
  </si>
  <si>
    <t>https://edepot.wur.nl/3024</t>
  </si>
  <si>
    <t>https://www.ecopedia.be/artikel/mono-bermgrasvergisting-energiecampus-leeuwarden</t>
  </si>
  <si>
    <t>Mycore mediatie</t>
  </si>
  <si>
    <t>Meer dan 3 types</t>
  </si>
  <si>
    <t>Lignine extractie</t>
  </si>
  <si>
    <t>Logistiek (km2)</t>
  </si>
  <si>
    <r>
      <t xml:space="preserve">Wat is de minimale </t>
    </r>
    <r>
      <rPr>
        <b/>
        <sz val="12"/>
        <color theme="1"/>
        <rFont val="Calibri"/>
        <family val="2"/>
        <scheme val="minor"/>
      </rPr>
      <t>benodigde schaalgrootte</t>
    </r>
    <r>
      <rPr>
        <sz val="12"/>
        <color theme="1"/>
        <rFont val="Calibri"/>
        <family val="2"/>
        <scheme val="minor"/>
      </rPr>
      <t xml:space="preserve"> in ton nat per jaar?</t>
    </r>
  </si>
  <si>
    <t>Wat is de minimale benodigde schaalgrootte in ton nat per jaar?</t>
  </si>
  <si>
    <t>BRON</t>
  </si>
  <si>
    <t>https://www.change.inc/agri-food/proeffabriek-grassa-helpt-boer-natuur-en-klimaat-met-bioraffinage-van-gras-38258</t>
  </si>
  <si>
    <t>Hooi/gras</t>
  </si>
  <si>
    <t>Was is de verwachte verdringing van broeikasgassen in ton CO2 equivalenten per ton nat</t>
  </si>
  <si>
    <t>Workshop 2 (7-4-2026): Wim: "wij rekenen 10 a 15 euro per ton gemiddeld 30-40 km"</t>
  </si>
  <si>
    <t>https://www.anwb.nl/energie/wat-kost-1-kwh</t>
  </si>
  <si>
    <t>(geraadpleegd 13-4-2026)</t>
  </si>
  <si>
    <t>https://www.anwb.nl/energie/wat-kost-een-kuub-gas</t>
  </si>
  <si>
    <t>Veen</t>
  </si>
  <si>
    <t>https://restorecarbon.eu/nl/maairesten-onder-de-grond-opslaan-blijkt-nieuw-verdienmodel-ik-vond-het-een-heel-gek-idee/</t>
  </si>
  <si>
    <t>Restore Carbon</t>
  </si>
  <si>
    <t>Afvalstoffenwetgeving</t>
  </si>
  <si>
    <t>Diervoederwetgeving</t>
  </si>
  <si>
    <t>Beperkingen vanuit wet- en regelgeving</t>
  </si>
  <si>
    <t>Composteren (kleinschalig)</t>
  </si>
  <si>
    <t>Composteren (grootschalig)</t>
  </si>
  <si>
    <t>Meststoffenwetgeving</t>
  </si>
  <si>
    <t>Insectensubstraat</t>
  </si>
  <si>
    <t>Grondstoffen voor veevoer, wekelijks de prijsverwachtingen. Teruggerekend naar eiwitgehalte soja 36%</t>
  </si>
  <si>
    <t>https://www.abzdiervoeding.nl/grondstoffen/prijsverwachting-grondstoffen/ Gemiddelde prijs bijproducten gepakt</t>
  </si>
  <si>
    <t>vezel (diervoeding)</t>
  </si>
  <si>
    <t>https://www.nieuweoogst.nl/marktprijzen/hooi-en-stro</t>
  </si>
  <si>
    <t>Bouwbesluit</t>
  </si>
  <si>
    <t>Bioblocks / Bio bound / Netics</t>
  </si>
  <si>
    <t>https://www.123sierbestrating.nl/betonklinkers/?swoof=1&amp;orderby=price&amp;really_curr_tax=113-product_cat (prijs 20€/m2 omgerekend naar ton)</t>
  </si>
  <si>
    <t>NPSP / Van Hier / Nabasco</t>
  </si>
  <si>
    <t>http://www.npsp.nl/page.asp?ID=14 / https://vanhier.bio/ / https://nabasco.nl/?srsltid=AfmBOoquzmZVJykwj4AOQYSdG5c1VJVIgfd5sKQ512QDtr4fHx2sucvA</t>
  </si>
  <si>
    <t>https://inagro.be/themas/groene-grondstoffen/hoe-hennep-telen/industriele-hennep-telen-rendabel</t>
  </si>
  <si>
    <t>https://inagro.be/teelt-en-dier/dieren/insecten/rentabiliteit-insectenkweek (kosten voor startmateriaal 2€/kg kwart van genomen)</t>
  </si>
  <si>
    <t>https://www.voorbijpapier.nl/ / https://greenhub-zuidholland.nl/blogserie-dry-run-2025-lessen-uit-de-korte-keten/</t>
  </si>
  <si>
    <t>https://edepot.wur.nl/425160</t>
  </si>
  <si>
    <t>Voorbij Papier / Greenhub Zuid-Holland / Voorheen Newfoss, Millvision</t>
  </si>
  <si>
    <t>https://raad.gemeente-steenbergen.nl/Vergaderingen/Oordeelvormende-vergadering/2020/13-mei/19:30/Bijlage-onderbouwing-werkzaamheden-Bijlandseweg-BBM2000189.pdf</t>
  </si>
  <si>
    <t>Direct gras afzetten</t>
  </si>
  <si>
    <t>Gras</t>
  </si>
  <si>
    <t>Bron: ervaring Ingenia</t>
  </si>
  <si>
    <t>Laag</t>
  </si>
  <si>
    <t>Negatief</t>
  </si>
  <si>
    <t>Middel</t>
  </si>
  <si>
    <t>Hoog</t>
  </si>
  <si>
    <t>Direct - op de bodem</t>
  </si>
  <si>
    <t>Direct - in de bodem</t>
  </si>
  <si>
    <r>
      <t>Draagt een project met deze technologie bij aan de thema's "</t>
    </r>
    <r>
      <rPr>
        <b/>
        <sz val="12"/>
        <color theme="1"/>
        <rFont val="Calibri"/>
        <family val="2"/>
        <scheme val="minor"/>
      </rPr>
      <t>Samenwerken in directe regio</t>
    </r>
    <r>
      <rPr>
        <sz val="12"/>
        <color theme="1"/>
        <rFont val="Calibri"/>
        <family val="2"/>
        <scheme val="minor"/>
      </rPr>
      <t>" of "</t>
    </r>
    <r>
      <rPr>
        <b/>
        <sz val="12"/>
        <color theme="1"/>
        <rFont val="Calibri"/>
        <family val="2"/>
        <scheme val="minor"/>
      </rPr>
      <t>Kleine kringloop</t>
    </r>
    <r>
      <rPr>
        <sz val="12"/>
        <color theme="1"/>
        <rFont val="Calibri"/>
        <family val="2"/>
        <scheme val="minor"/>
      </rPr>
      <t>"?</t>
    </r>
  </si>
  <si>
    <t>Nutrition</t>
  </si>
  <si>
    <t>Health &amp; lifestyle</t>
  </si>
  <si>
    <t>Chemie &amp; materialen</t>
  </si>
  <si>
    <t>&lt; 50</t>
  </si>
  <si>
    <t>&gt; 150</t>
  </si>
  <si>
    <t>101-150</t>
  </si>
  <si>
    <r>
      <t xml:space="preserve">Was is de verwachte </t>
    </r>
    <r>
      <rPr>
        <b/>
        <sz val="12"/>
        <color theme="1"/>
        <rFont val="Calibri"/>
        <family val="2"/>
        <scheme val="minor"/>
      </rPr>
      <t>verdringing van broeikasgassen in kg CO2</t>
    </r>
    <r>
      <rPr>
        <sz val="12"/>
        <color theme="1"/>
        <rFont val="Calibri"/>
        <family val="2"/>
        <scheme val="minor"/>
      </rPr>
      <t xml:space="preserve"> equivalenten per ton nat?</t>
    </r>
  </si>
  <si>
    <t>Hier (in de velden B28 C28 D28 E28) kunnen de weegfactoren in waarde worden aangepast.</t>
  </si>
  <si>
    <t xml:space="preserve">In rij 3 kan bij B, C, en D een selectie worden gemaakt van technieken of toepassingen, of in E gesorteerd worden op totaal score. </t>
  </si>
  <si>
    <t>In rij 3 kan vanaf F per criterium een gewenste score of minimum score worden geselecteerd.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</si>
</sst>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#,##0\ [$ton/jaar]"/>
    <numFmt numFmtId="166" formatCode="#,##0\ [$km]"/>
    <numFmt numFmtId="167" formatCode="#,##0\ [$°C]"/>
    <numFmt numFmtId="168" formatCode="_ * #,##0_ ;_ * \-#,##0_ ;_ * &quot;-&quot;??_ ;_ @_ "/>
    <numFmt numFmtId="169" formatCode="#,##0.\-\ \ [$€/ton]"/>
    <numFmt numFmtId="170" formatCode="&quot;€&quot;\ * #,##0.00\ [$per ton a.r.]\ "/>
    <numFmt numFmtId="171" formatCode="&quot;€&quot;\ * #,##0.00\ [$per ton a.r. per km]\ "/>
    <numFmt numFmtId="172" formatCode="0%\ [$d.s.]"/>
    <numFmt numFmtId="173" formatCode="#,##0\ [$ton d.s./jaar]"/>
    <numFmt numFmtId="174" formatCode="#,##0.0\ [$MJ/kg a.r.]"/>
    <numFmt numFmtId="175" formatCode="0.0%\ [$d.s.]"/>
    <numFmt numFmtId="176" formatCode="#,##0\ [$€/ton (a.r.)]"/>
    <numFmt numFmtId="177" formatCode="#,##0\ [$€/ton (a.r.) incl. vuil]"/>
    <numFmt numFmtId="178" formatCode="#,##0.0\ [$MJ/kg]"/>
    <numFmt numFmtId="179" formatCode="#,##0\ [$€/ton (50% d.s.)]"/>
    <numFmt numFmtId="180" formatCode="#,##0\ [$kg/ton]"/>
    <numFmt numFmtId="181" formatCode="\+\ 0%"/>
    <numFmt numFmtId="182" formatCode="#,##0.0\ [$€/ton vuil]"/>
    <numFmt numFmtId="183" formatCode="_ [$€-2]\ * #,##0_ ;_ [$€-2]\ * \-#,##0_ ;_ [$€-2]\ * &quot;-&quot;??_ ;_ @_ "/>
    <numFmt numFmtId="184" formatCode="#,##0\ [$€/ton]"/>
    <numFmt numFmtId="185" formatCode="_ &quot;€&quot;\ * #,##0_ ;_ &quot;€&quot;\ * \-#,##0_ ;_ &quot;€&quot;\ * &quot;-&quot;??_ ;_ @_ "/>
    <numFmt numFmtId="186" formatCode="#,##0\ [$€/ton (90% d.s.)]"/>
    <numFmt numFmtId="187" formatCode="#,##0\ [$€/GJ]"/>
    <numFmt numFmtId="188" formatCode="0%\ \t\h"/>
    <numFmt numFmtId="189" formatCode="#,##0\ [$GJ/ton]"/>
    <numFmt numFmtId="190" formatCode="0%\ [$e]"/>
    <numFmt numFmtId="191" formatCode="0%\ [$w/w]"/>
    <numFmt numFmtId="192" formatCode="#,##0.0\ [$ton/ton input]"/>
    <numFmt numFmtId="193" formatCode="#,##0\ [$m3/ton]"/>
    <numFmt numFmtId="194" formatCode="#,##0\ [$MJ/m3]"/>
    <numFmt numFmtId="195" formatCode="#,##0.0\ [$GJ/ton]"/>
    <numFmt numFmtId="196" formatCode="#,##0.0000\ [$€/ton (90% d.s.)]"/>
    <numFmt numFmtId="197" formatCode="_ * #,##0.00000_ ;_ * \-#,##0.00000_ ;_ * &quot;-&quot;??_ ;_ @_ "/>
    <numFmt numFmtId="198" formatCode="#,##0\ [$€/kW output]"/>
    <numFmt numFmtId="199" formatCode="_ * #,##0.00000_ ;_ * \-#,##0.00000_ ;_ * &quot;-&quot;?????_ ;_ @_ "/>
    <numFmt numFmtId="200" formatCode="0.0"/>
    <numFmt numFmtId="201" formatCode="#,##0.00\ [$€/m3]"/>
    <numFmt numFmtId="202" formatCode="#,##0.00\ [$€/kWh]"/>
    <numFmt numFmtId="203" formatCode="#,##0.00\ [$€/ton/km]"/>
    <numFmt numFmtId="204" formatCode="#,##0\ [$kWh/ton]"/>
    <numFmt numFmtId="205" formatCode="#,##0.000\ [$€/kWh]"/>
    <numFmt numFmtId="206" formatCode="\(#,##0\)\ [$ton/jaar]"/>
    <numFmt numFmtId="212" formatCode="0.0000000"/>
    <numFmt numFmtId="213" formatCode="&quot;€&quot;\ #,##0\ [$/ton (nat)]"/>
    <numFmt numFmtId="214" formatCode="&quot;€&quot;\ #,##0\ [$/jaar]"/>
    <numFmt numFmtId="215" formatCode="&quot;€&quot;\ #,##0\ [$/ton]"/>
    <numFmt numFmtId="217" formatCode="#,##0\ [$ton (nat)]"/>
  </numFmts>
  <fonts count="3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48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2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9" fillId="2" borderId="16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9" fontId="0" fillId="0" borderId="0" xfId="3" applyNumberFormat="1" applyFont="1"/>
    <xf numFmtId="3" fontId="16" fillId="0" borderId="0" xfId="0" applyNumberFormat="1" applyFont="1" applyAlignment="1">
      <alignment horizontal="left" indent="1"/>
    </xf>
    <xf numFmtId="0" fontId="0" fillId="2" borderId="4" xfId="0" applyFill="1" applyBorder="1" applyAlignment="1">
      <alignment horizontal="center" vertical="center"/>
    </xf>
    <xf numFmtId="0" fontId="8" fillId="0" borderId="0" xfId="1"/>
    <xf numFmtId="10" fontId="0" fillId="0" borderId="0" xfId="0" applyNumberFormat="1"/>
    <xf numFmtId="0" fontId="10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9" fontId="0" fillId="0" borderId="0" xfId="4" applyFont="1" applyAlignment="1">
      <alignment horizontal="center"/>
    </xf>
    <xf numFmtId="9" fontId="18" fillId="0" borderId="0" xfId="0" applyNumberFormat="1" applyFont="1" applyAlignment="1">
      <alignment horizontal="center"/>
    </xf>
    <xf numFmtId="174" fontId="18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180" fontId="0" fillId="0" borderId="0" xfId="0" applyNumberFormat="1" applyAlignment="1">
      <alignment horizontal="left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0" xfId="0" applyNumberFormat="1"/>
    <xf numFmtId="43" fontId="15" fillId="0" borderId="31" xfId="2" applyFont="1" applyBorder="1" applyAlignment="1">
      <alignment horizontal="left"/>
    </xf>
    <xf numFmtId="9" fontId="15" fillId="0" borderId="31" xfId="0" applyNumberFormat="1" applyFont="1" applyBorder="1" applyAlignment="1">
      <alignment horizontal="center"/>
    </xf>
    <xf numFmtId="181" fontId="15" fillId="0" borderId="31" xfId="0" applyNumberFormat="1" applyFont="1" applyBorder="1" applyAlignment="1">
      <alignment horizontal="center"/>
    </xf>
    <xf numFmtId="0" fontId="0" fillId="0" borderId="34" xfId="0" applyBorder="1" applyAlignment="1">
      <alignment horizontal="center" wrapText="1"/>
    </xf>
    <xf numFmtId="9" fontId="0" fillId="0" borderId="3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34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35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178" fontId="0" fillId="0" borderId="35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172" fontId="0" fillId="0" borderId="34" xfId="4" applyNumberFormat="1" applyFont="1" applyBorder="1" applyAlignment="1">
      <alignment horizontal="center"/>
    </xf>
    <xf numFmtId="172" fontId="0" fillId="0" borderId="0" xfId="4" applyNumberFormat="1" applyFont="1" applyAlignment="1">
      <alignment horizontal="center"/>
    </xf>
    <xf numFmtId="175" fontId="0" fillId="0" borderId="0" xfId="4" applyNumberFormat="1" applyFont="1" applyAlignment="1">
      <alignment horizontal="center"/>
    </xf>
    <xf numFmtId="172" fontId="0" fillId="0" borderId="35" xfId="4" applyNumberFormat="1" applyFont="1" applyBorder="1" applyAlignment="1">
      <alignment horizontal="center"/>
    </xf>
    <xf numFmtId="172" fontId="16" fillId="0" borderId="0" xfId="4" applyNumberFormat="1" applyFont="1" applyAlignment="1">
      <alignment horizontal="center"/>
    </xf>
    <xf numFmtId="172" fontId="0" fillId="0" borderId="14" xfId="4" applyNumberFormat="1" applyFont="1" applyBorder="1" applyAlignment="1">
      <alignment horizontal="center"/>
    </xf>
    <xf numFmtId="175" fontId="0" fillId="0" borderId="14" xfId="4" applyNumberFormat="1" applyFont="1" applyBorder="1" applyAlignment="1">
      <alignment horizontal="center"/>
    </xf>
    <xf numFmtId="172" fontId="0" fillId="0" borderId="11" xfId="4" applyNumberFormat="1" applyFont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14" xfId="0" applyNumberFormat="1" applyBorder="1" applyAlignment="1">
      <alignment horizontal="center"/>
    </xf>
    <xf numFmtId="178" fontId="0" fillId="0" borderId="34" xfId="0" applyNumberFormat="1" applyBorder="1" applyAlignment="1">
      <alignment horizontal="center"/>
    </xf>
    <xf numFmtId="178" fontId="0" fillId="0" borderId="31" xfId="0" applyNumberFormat="1" applyBorder="1" applyAlignment="1">
      <alignment horizontal="center"/>
    </xf>
    <xf numFmtId="172" fontId="0" fillId="0" borderId="31" xfId="4" applyNumberFormat="1" applyFont="1" applyBorder="1" applyAlignment="1">
      <alignment horizontal="center"/>
    </xf>
    <xf numFmtId="0" fontId="0" fillId="0" borderId="35" xfId="0" applyBorder="1"/>
    <xf numFmtId="0" fontId="0" fillId="0" borderId="11" xfId="0" applyBorder="1"/>
    <xf numFmtId="176" fontId="0" fillId="0" borderId="0" xfId="0" applyNumberFormat="1"/>
    <xf numFmtId="183" fontId="0" fillId="0" borderId="10" xfId="0" applyNumberFormat="1" applyBorder="1" applyAlignment="1">
      <alignment horizontal="center" vertical="center"/>
    </xf>
    <xf numFmtId="183" fontId="0" fillId="0" borderId="3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8" xfId="0" applyFill="1" applyBorder="1" applyAlignment="1">
      <alignment horizontal="left" indent="2"/>
    </xf>
    <xf numFmtId="0" fontId="0" fillId="2" borderId="28" xfId="0" applyFill="1" applyBorder="1" applyAlignment="1">
      <alignment horizontal="left" wrapText="1" indent="2"/>
    </xf>
    <xf numFmtId="0" fontId="0" fillId="2" borderId="38" xfId="0" applyFill="1" applyBorder="1" applyAlignment="1">
      <alignment horizontal="left" indent="2"/>
    </xf>
    <xf numFmtId="0" fontId="3" fillId="0" borderId="6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43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horizontal="center"/>
    </xf>
    <xf numFmtId="9" fontId="0" fillId="0" borderId="1" xfId="4" applyFont="1" applyBorder="1" applyAlignment="1">
      <alignment horizontal="center"/>
    </xf>
    <xf numFmtId="9" fontId="0" fillId="0" borderId="1" xfId="4" applyFont="1" applyBorder="1"/>
    <xf numFmtId="168" fontId="0" fillId="0" borderId="1" xfId="2" applyNumberFormat="1" applyFont="1" applyBorder="1"/>
    <xf numFmtId="165" fontId="19" fillId="0" borderId="1" xfId="0" applyNumberFormat="1" applyFont="1" applyBorder="1"/>
    <xf numFmtId="185" fontId="0" fillId="0" borderId="0" xfId="3" applyNumberFormat="1" applyFont="1"/>
    <xf numFmtId="0" fontId="0" fillId="0" borderId="0" xfId="0" applyAlignment="1">
      <alignment horizontal="left" vertical="top" wrapText="1"/>
    </xf>
    <xf numFmtId="184" fontId="0" fillId="0" borderId="0" xfId="0" applyNumberFormat="1" applyAlignment="1">
      <alignment horizontal="right" vertical="top"/>
    </xf>
    <xf numFmtId="175" fontId="0" fillId="0" borderId="31" xfId="4" applyNumberFormat="1" applyFont="1" applyBorder="1" applyAlignment="1">
      <alignment horizontal="center"/>
    </xf>
    <xf numFmtId="0" fontId="20" fillId="0" borderId="0" xfId="0" applyFont="1"/>
    <xf numFmtId="0" fontId="0" fillId="4" borderId="2" xfId="0" applyFill="1" applyBorder="1" applyAlignment="1">
      <alignment horizontal="center" vertical="center" wrapText="1"/>
    </xf>
    <xf numFmtId="0" fontId="6" fillId="0" borderId="0" xfId="0" applyFont="1"/>
    <xf numFmtId="168" fontId="0" fillId="0" borderId="0" xfId="2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indent="4"/>
    </xf>
    <xf numFmtId="191" fontId="0" fillId="0" borderId="0" xfId="0" applyNumberFormat="1" applyAlignment="1">
      <alignment horizontal="center"/>
    </xf>
    <xf numFmtId="189" fontId="0" fillId="0" borderId="0" xfId="0" applyNumberFormat="1" applyAlignment="1">
      <alignment horizontal="left"/>
    </xf>
    <xf numFmtId="192" fontId="0" fillId="0" borderId="0" xfId="0" applyNumberFormat="1" applyAlignment="1">
      <alignment horizontal="left"/>
    </xf>
    <xf numFmtId="195" fontId="0" fillId="0" borderId="0" xfId="0" applyNumberFormat="1" applyAlignment="1">
      <alignment horizontal="left"/>
    </xf>
    <xf numFmtId="0" fontId="9" fillId="0" borderId="0" xfId="1" applyFont="1"/>
    <xf numFmtId="0" fontId="11" fillId="0" borderId="0" xfId="0" applyFont="1" applyAlignment="1">
      <alignment horizontal="right"/>
    </xf>
    <xf numFmtId="43" fontId="0" fillId="0" borderId="0" xfId="2" applyFont="1" applyAlignment="1">
      <alignment horizontal="center"/>
    </xf>
    <xf numFmtId="168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right" indent="1"/>
    </xf>
    <xf numFmtId="198" fontId="11" fillId="0" borderId="0" xfId="0" applyNumberFormat="1" applyFont="1" applyAlignment="1">
      <alignment horizontal="left"/>
    </xf>
    <xf numFmtId="178" fontId="0" fillId="0" borderId="0" xfId="0" applyNumberFormat="1"/>
    <xf numFmtId="197" fontId="0" fillId="0" borderId="0" xfId="2" applyNumberFormat="1" applyFont="1" applyAlignment="1">
      <alignment horizontal="center"/>
    </xf>
    <xf numFmtId="199" fontId="0" fillId="0" borderId="0" xfId="0" applyNumberFormat="1"/>
    <xf numFmtId="0" fontId="20" fillId="0" borderId="0" xfId="0" applyFont="1" applyAlignment="1">
      <alignment horizontal="right" indent="1"/>
    </xf>
    <xf numFmtId="198" fontId="20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center" vertical="center"/>
    </xf>
    <xf numFmtId="175" fontId="16" fillId="0" borderId="0" xfId="4" applyNumberFormat="1" applyFont="1" applyAlignment="1">
      <alignment horizontal="center"/>
    </xf>
    <xf numFmtId="175" fontId="16" fillId="0" borderId="14" xfId="4" applyNumberFormat="1" applyFont="1" applyBorder="1" applyAlignment="1">
      <alignment horizontal="center"/>
    </xf>
    <xf numFmtId="0" fontId="15" fillId="0" borderId="0" xfId="0" applyFont="1"/>
    <xf numFmtId="185" fontId="0" fillId="0" borderId="0" xfId="0" applyNumberFormat="1"/>
    <xf numFmtId="185" fontId="6" fillId="0" borderId="0" xfId="3" applyNumberFormat="1" applyFont="1" applyAlignment="1">
      <alignment horizontal="left" indent="15"/>
    </xf>
    <xf numFmtId="0" fontId="0" fillId="2" borderId="1" xfId="0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0" borderId="0" xfId="0" applyNumberFormat="1"/>
    <xf numFmtId="0" fontId="15" fillId="2" borderId="14" xfId="0" applyFont="1" applyFill="1" applyBorder="1"/>
    <xf numFmtId="0" fontId="15" fillId="2" borderId="14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204" fontId="16" fillId="0" borderId="0" xfId="0" applyNumberFormat="1" applyFont="1" applyAlignment="1">
      <alignment horizontal="left" indent="1"/>
    </xf>
    <xf numFmtId="183" fontId="0" fillId="0" borderId="7" xfId="0" applyNumberFormat="1" applyBorder="1" applyAlignment="1">
      <alignment horizontal="center" vertical="center"/>
    </xf>
    <xf numFmtId="183" fontId="0" fillId="0" borderId="18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left" vertical="center"/>
    </xf>
    <xf numFmtId="205" fontId="0" fillId="0" borderId="0" xfId="0" applyNumberFormat="1" applyAlignment="1">
      <alignment horizontal="left" vertical="top"/>
    </xf>
    <xf numFmtId="0" fontId="0" fillId="2" borderId="14" xfId="0" applyFill="1" applyBorder="1" applyAlignment="1">
      <alignment horizontal="left"/>
    </xf>
    <xf numFmtId="168" fontId="0" fillId="0" borderId="31" xfId="2" applyNumberFormat="1" applyFont="1" applyBorder="1" applyAlignment="1">
      <alignment horizontal="center" vertical="center"/>
    </xf>
    <xf numFmtId="168" fontId="0" fillId="0" borderId="12" xfId="2" applyNumberFormat="1" applyFont="1" applyBorder="1" applyAlignment="1">
      <alignment horizontal="center" vertical="center"/>
    </xf>
    <xf numFmtId="198" fontId="0" fillId="0" borderId="0" xfId="0" applyNumberFormat="1"/>
    <xf numFmtId="0" fontId="0" fillId="0" borderId="1" xfId="0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5" fontId="0" fillId="0" borderId="1" xfId="3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 indent="4"/>
    </xf>
    <xf numFmtId="205" fontId="0" fillId="0" borderId="0" xfId="0" applyNumberFormat="1" applyAlignment="1">
      <alignment horizontal="left"/>
    </xf>
    <xf numFmtId="49" fontId="1" fillId="0" borderId="0" xfId="0" applyNumberFormat="1" applyFont="1"/>
    <xf numFmtId="1" fontId="0" fillId="0" borderId="1" xfId="2" applyNumberFormat="1" applyFont="1" applyBorder="1" applyAlignment="1">
      <alignment horizontal="center" vertical="center"/>
    </xf>
    <xf numFmtId="2" fontId="0" fillId="0" borderId="31" xfId="2" applyNumberFormat="1" applyFont="1" applyBorder="1" applyAlignment="1">
      <alignment horizontal="center" vertical="center"/>
    </xf>
    <xf numFmtId="1" fontId="0" fillId="0" borderId="10" xfId="2" applyNumberFormat="1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 vertical="center"/>
    </xf>
    <xf numFmtId="1" fontId="0" fillId="0" borderId="11" xfId="2" applyNumberFormat="1" applyFont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31" xfId="0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1" fontId="0" fillId="0" borderId="12" xfId="2" applyNumberFormat="1" applyFont="1" applyBorder="1" applyAlignment="1">
      <alignment horizontal="center" vertical="center"/>
    </xf>
    <xf numFmtId="1" fontId="0" fillId="0" borderId="31" xfId="2" applyNumberFormat="1" applyFont="1" applyBorder="1" applyAlignment="1">
      <alignment horizontal="center" vertical="center"/>
    </xf>
    <xf numFmtId="168" fontId="0" fillId="0" borderId="3" xfId="2" applyNumberFormat="1" applyFont="1" applyBorder="1" applyAlignment="1">
      <alignment horizontal="center" vertical="center"/>
    </xf>
    <xf numFmtId="1" fontId="0" fillId="0" borderId="5" xfId="2" applyNumberFormat="1" applyFont="1" applyBorder="1" applyAlignment="1">
      <alignment horizontal="center" vertical="center"/>
    </xf>
    <xf numFmtId="168" fontId="0" fillId="0" borderId="3" xfId="2" applyNumberFormat="1" applyFont="1" applyBorder="1" applyAlignment="1">
      <alignment vertical="center"/>
    </xf>
    <xf numFmtId="200" fontId="0" fillId="0" borderId="5" xfId="2" applyNumberFormat="1" applyFont="1" applyBorder="1" applyAlignment="1">
      <alignment horizontal="center" vertical="center"/>
    </xf>
    <xf numFmtId="168" fontId="0" fillId="0" borderId="10" xfId="2" applyNumberFormat="1" applyFont="1" applyBorder="1" applyAlignment="1">
      <alignment horizontal="center" vertical="center"/>
    </xf>
    <xf numFmtId="1" fontId="0" fillId="0" borderId="13" xfId="2" applyNumberFormat="1" applyFont="1" applyBorder="1" applyAlignment="1">
      <alignment horizontal="center" vertical="center"/>
    </xf>
    <xf numFmtId="183" fontId="0" fillId="0" borderId="35" xfId="0" applyNumberFormat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83" fontId="0" fillId="0" borderId="4" xfId="0" applyNumberFormat="1" applyBorder="1" applyAlignment="1">
      <alignment horizontal="center" vertical="center"/>
    </xf>
    <xf numFmtId="1" fontId="0" fillId="2" borderId="31" xfId="0" applyNumberFormat="1" applyFill="1" applyBorder="1" applyAlignment="1">
      <alignment horizontal="left" indent="2"/>
    </xf>
    <xf numFmtId="1" fontId="0" fillId="2" borderId="31" xfId="0" applyNumberFormat="1" applyFill="1" applyBorder="1" applyAlignment="1">
      <alignment horizontal="left" indent="4"/>
    </xf>
    <xf numFmtId="0" fontId="1" fillId="0" borderId="0" xfId="0" applyFont="1" applyAlignment="1">
      <alignment horizontal="left" indent="3"/>
    </xf>
    <xf numFmtId="0" fontId="1" fillId="0" borderId="0" xfId="0" applyFont="1"/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9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  <xf numFmtId="9" fontId="1" fillId="0" borderId="14" xfId="0" applyNumberFormat="1" applyFont="1" applyBorder="1" applyAlignment="1">
      <alignment horizontal="center"/>
    </xf>
    <xf numFmtId="2" fontId="0" fillId="8" borderId="5" xfId="2" applyNumberFormat="1" applyFont="1" applyFill="1" applyBorder="1" applyAlignment="1">
      <alignment horizontal="center" vertical="center"/>
    </xf>
    <xf numFmtId="183" fontId="0" fillId="8" borderId="35" xfId="0" applyNumberFormat="1" applyFill="1" applyBorder="1" applyAlignment="1">
      <alignment horizontal="center" vertical="center"/>
    </xf>
    <xf numFmtId="1" fontId="0" fillId="8" borderId="5" xfId="2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8" fontId="0" fillId="8" borderId="3" xfId="2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 wrapText="1"/>
    </xf>
    <xf numFmtId="49" fontId="1" fillId="2" borderId="7" xfId="0" applyNumberFormat="1" applyFont="1" applyFill="1" applyBorder="1" applyAlignment="1">
      <alignment horizontal="left" wrapText="1"/>
    </xf>
    <xf numFmtId="1" fontId="0" fillId="2" borderId="7" xfId="0" applyNumberFormat="1" applyFill="1" applyBorder="1" applyAlignment="1">
      <alignment horizontal="left" indent="4"/>
    </xf>
    <xf numFmtId="0" fontId="0" fillId="2" borderId="31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170" fontId="0" fillId="2" borderId="18" xfId="3" applyNumberFormat="1" applyFont="1" applyFill="1" applyBorder="1" applyAlignment="1">
      <alignment horizontal="left"/>
    </xf>
    <xf numFmtId="171" fontId="0" fillId="2" borderId="18" xfId="3" applyNumberFormat="1" applyFont="1" applyFill="1" applyBorder="1" applyAlignment="1">
      <alignment horizontal="left"/>
    </xf>
    <xf numFmtId="170" fontId="0" fillId="2" borderId="18" xfId="3" applyNumberFormat="1" applyFont="1" applyFill="1" applyBorder="1" applyAlignment="1">
      <alignment horizontal="left" wrapText="1"/>
    </xf>
    <xf numFmtId="44" fontId="0" fillId="2" borderId="19" xfId="3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52" xfId="0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9" fillId="2" borderId="44" xfId="1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0" fillId="0" borderId="53" xfId="2" applyNumberFormat="1" applyFont="1" applyBorder="1" applyAlignment="1">
      <alignment horizontal="center" vertical="center"/>
    </xf>
    <xf numFmtId="168" fontId="0" fillId="0" borderId="53" xfId="2" applyNumberFormat="1" applyFont="1" applyBorder="1" applyAlignment="1">
      <alignment horizontal="center" vertical="center"/>
    </xf>
    <xf numFmtId="168" fontId="0" fillId="0" borderId="54" xfId="2" applyNumberFormat="1" applyFont="1" applyBorder="1" applyAlignment="1">
      <alignment vertical="center"/>
    </xf>
    <xf numFmtId="1" fontId="0" fillId="8" borderId="42" xfId="2" applyNumberFormat="1" applyFont="1" applyFill="1" applyBorder="1" applyAlignment="1">
      <alignment horizontal="center" vertical="center"/>
    </xf>
    <xf numFmtId="200" fontId="0" fillId="0" borderId="22" xfId="2" applyNumberFormat="1" applyFont="1" applyBorder="1" applyAlignment="1">
      <alignment horizontal="center" vertical="center"/>
    </xf>
    <xf numFmtId="183" fontId="0" fillId="0" borderId="41" xfId="0" applyNumberFormat="1" applyBorder="1" applyAlignment="1">
      <alignment horizontal="center" vertical="center"/>
    </xf>
    <xf numFmtId="183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1" xfId="0" applyFont="1" applyBorder="1"/>
    <xf numFmtId="9" fontId="19" fillId="0" borderId="1" xfId="4" applyFont="1" applyBorder="1"/>
    <xf numFmtId="0" fontId="15" fillId="0" borderId="1" xfId="0" applyFont="1" applyBorder="1" applyAlignment="1">
      <alignment horizontal="center"/>
    </xf>
    <xf numFmtId="9" fontId="15" fillId="0" borderId="1" xfId="4" applyFont="1" applyBorder="1"/>
    <xf numFmtId="165" fontId="19" fillId="0" borderId="0" xfId="0" applyNumberFormat="1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85" fontId="0" fillId="0" borderId="1" xfId="3" applyNumberFormat="1" applyFont="1" applyBorder="1"/>
    <xf numFmtId="0" fontId="11" fillId="0" borderId="1" xfId="0" applyFont="1" applyBorder="1" applyAlignment="1">
      <alignment horizontal="right"/>
    </xf>
    <xf numFmtId="0" fontId="9" fillId="0" borderId="1" xfId="1" applyFont="1" applyBorder="1"/>
    <xf numFmtId="0" fontId="1" fillId="0" borderId="1" xfId="0" applyFont="1" applyBorder="1"/>
    <xf numFmtId="185" fontId="24" fillId="0" borderId="1" xfId="3" applyNumberFormat="1" applyFont="1" applyBorder="1"/>
    <xf numFmtId="185" fontId="24" fillId="8" borderId="1" xfId="3" applyNumberFormat="1" applyFont="1" applyFill="1" applyBorder="1"/>
    <xf numFmtId="185" fontId="0" fillId="8" borderId="1" xfId="3" applyNumberFormat="1" applyFont="1" applyFill="1" applyBorder="1"/>
    <xf numFmtId="0" fontId="0" fillId="2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0" fillId="0" borderId="42" xfId="2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29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212" fontId="0" fillId="0" borderId="0" xfId="0" applyNumberFormat="1"/>
    <xf numFmtId="0" fontId="0" fillId="9" borderId="0" xfId="0" applyFill="1"/>
    <xf numFmtId="0" fontId="6" fillId="9" borderId="0" xfId="0" applyFont="1" applyFill="1"/>
    <xf numFmtId="0" fontId="26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213" fontId="0" fillId="10" borderId="0" xfId="0" applyNumberFormat="1" applyFill="1"/>
    <xf numFmtId="9" fontId="0" fillId="10" borderId="0" xfId="0" applyNumberFormat="1" applyFill="1"/>
    <xf numFmtId="215" fontId="0" fillId="10" borderId="0" xfId="0" applyNumberFormat="1" applyFill="1"/>
    <xf numFmtId="9" fontId="0" fillId="0" borderId="14" xfId="0" applyNumberFormat="1" applyBorder="1"/>
    <xf numFmtId="187" fontId="0" fillId="0" borderId="0" xfId="0" applyNumberFormat="1"/>
    <xf numFmtId="0" fontId="6" fillId="9" borderId="1" xfId="0" applyFont="1" applyFill="1" applyBorder="1" applyAlignment="1">
      <alignment horizontal="center" vertical="center" wrapText="1"/>
    </xf>
    <xf numFmtId="0" fontId="6" fillId="9" borderId="1" xfId="0" quotePrefix="1" applyFont="1" applyFill="1" applyBorder="1" applyAlignment="1">
      <alignment horizontal="center" vertical="center" wrapText="1"/>
    </xf>
    <xf numFmtId="0" fontId="16" fillId="9" borderId="0" xfId="0" applyFont="1" applyFill="1"/>
    <xf numFmtId="0" fontId="16" fillId="9" borderId="60" xfId="0" applyFont="1" applyFill="1" applyBorder="1" applyAlignment="1">
      <alignment vertical="center"/>
    </xf>
    <xf numFmtId="0" fontId="16" fillId="9" borderId="61" xfId="0" applyFont="1" applyFill="1" applyBorder="1"/>
    <xf numFmtId="0" fontId="16" fillId="9" borderId="62" xfId="0" applyFont="1" applyFill="1" applyBorder="1" applyAlignment="1">
      <alignment vertical="center"/>
    </xf>
    <xf numFmtId="0" fontId="16" fillId="9" borderId="63" xfId="0" applyFont="1" applyFill="1" applyBorder="1"/>
    <xf numFmtId="0" fontId="16" fillId="9" borderId="64" xfId="0" applyFont="1" applyFill="1" applyBorder="1"/>
    <xf numFmtId="0" fontId="0" fillId="0" borderId="0" xfId="0" applyAlignment="1">
      <alignment wrapText="1"/>
    </xf>
    <xf numFmtId="183" fontId="0" fillId="11" borderId="2" xfId="0" applyNumberFormat="1" applyFill="1" applyBorder="1" applyAlignment="1">
      <alignment horizontal="center" vertical="center"/>
    </xf>
    <xf numFmtId="183" fontId="0" fillId="11" borderId="1" xfId="0" applyNumberForma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206" fontId="1" fillId="0" borderId="1" xfId="0" applyNumberFormat="1" applyFont="1" applyBorder="1" applyAlignment="1">
      <alignment horizontal="right" vertical="center"/>
    </xf>
    <xf numFmtId="206" fontId="4" fillId="0" borderId="0" xfId="0" applyNumberFormat="1" applyFont="1" applyAlignment="1">
      <alignment vertical="center"/>
    </xf>
    <xf numFmtId="0" fontId="33" fillId="0" borderId="0" xfId="0" applyFont="1"/>
    <xf numFmtId="9" fontId="33" fillId="0" borderId="0" xfId="4" applyFont="1" applyAlignment="1">
      <alignment horizontal="left"/>
    </xf>
    <xf numFmtId="0" fontId="2" fillId="12" borderId="52" xfId="0" applyFont="1" applyFill="1" applyBorder="1" applyAlignment="1">
      <alignment horizontal="center" vertical="center"/>
    </xf>
    <xf numFmtId="0" fontId="26" fillId="12" borderId="52" xfId="0" applyFont="1" applyFill="1" applyBorder="1" applyAlignment="1">
      <alignment horizontal="center" vertical="center"/>
    </xf>
    <xf numFmtId="0" fontId="3" fillId="12" borderId="52" xfId="0" applyFont="1" applyFill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68" fontId="0" fillId="0" borderId="1" xfId="2" applyNumberFormat="1" applyFont="1" applyBorder="1" applyAlignment="1">
      <alignment horizontal="center" vertical="center"/>
    </xf>
    <xf numFmtId="2" fontId="0" fillId="8" borderId="1" xfId="2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9" fillId="12" borderId="20" xfId="1" applyFont="1" applyFill="1" applyBorder="1" applyAlignment="1">
      <alignment horizontal="left" vertical="center"/>
    </xf>
    <xf numFmtId="49" fontId="0" fillId="12" borderId="2" xfId="0" applyNumberFormat="1" applyFill="1" applyBorder="1" applyAlignment="1">
      <alignment horizontal="center" vertical="center"/>
    </xf>
    <xf numFmtId="0" fontId="8" fillId="12" borderId="20" xfId="1" applyFill="1" applyBorder="1" applyAlignment="1">
      <alignment horizontal="left" vertical="center"/>
    </xf>
    <xf numFmtId="1" fontId="0" fillId="8" borderId="1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0" xfId="1" applyFill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0" fontId="9" fillId="12" borderId="8" xfId="1" applyFont="1" applyFill="1" applyBorder="1" applyAlignment="1">
      <alignment horizontal="left" vertical="center"/>
    </xf>
    <xf numFmtId="0" fontId="8" fillId="12" borderId="9" xfId="1" applyFill="1" applyBorder="1" applyAlignment="1">
      <alignment horizontal="left" vertical="center"/>
    </xf>
    <xf numFmtId="1" fontId="0" fillId="0" borderId="10" xfId="2" applyNumberFormat="1" applyFont="1" applyFill="1" applyBorder="1" applyAlignment="1">
      <alignment horizontal="center" vertical="center"/>
    </xf>
    <xf numFmtId="168" fontId="0" fillId="0" borderId="3" xfId="2" applyNumberFormat="1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9" fillId="11" borderId="21" xfId="1" applyFont="1" applyFill="1" applyBorder="1" applyAlignment="1">
      <alignment horizontal="left" vertical="center"/>
    </xf>
    <xf numFmtId="0" fontId="9" fillId="12" borderId="15" xfId="1" applyFont="1" applyFill="1" applyBorder="1" applyAlignment="1">
      <alignment horizontal="left" vertical="center"/>
    </xf>
    <xf numFmtId="0" fontId="9" fillId="11" borderId="15" xfId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/>
    </xf>
    <xf numFmtId="0" fontId="9" fillId="11" borderId="20" xfId="1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/>
    </xf>
    <xf numFmtId="0" fontId="9" fillId="12" borderId="17" xfId="1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11" fillId="11" borderId="6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34" fillId="9" borderId="1" xfId="0" applyFont="1" applyFill="1" applyBorder="1"/>
    <xf numFmtId="0" fontId="35" fillId="9" borderId="1" xfId="0" applyFont="1" applyFill="1" applyBorder="1" applyAlignment="1">
      <alignment horizontal="left" vertical="center" textRotation="45" wrapText="1"/>
    </xf>
    <xf numFmtId="0" fontId="35" fillId="9" borderId="1" xfId="0" applyFont="1" applyFill="1" applyBorder="1" applyAlignment="1">
      <alignment textRotation="45" wrapText="1"/>
    </xf>
    <xf numFmtId="0" fontId="15" fillId="9" borderId="0" xfId="0" applyFont="1" applyFill="1" applyAlignment="1">
      <alignment horizont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 wrapText="1"/>
    </xf>
    <xf numFmtId="49" fontId="0" fillId="9" borderId="1" xfId="0" applyNumberFormat="1" applyFill="1" applyBorder="1" applyAlignment="1">
      <alignment horizontal="left"/>
    </xf>
    <xf numFmtId="49" fontId="0" fillId="9" borderId="1" xfId="0" applyNumberFormat="1" applyFill="1" applyBorder="1" applyAlignment="1">
      <alignment horizontal="left" wrapText="1"/>
    </xf>
    <xf numFmtId="1" fontId="0" fillId="9" borderId="1" xfId="0" applyNumberFormat="1" applyFill="1" applyBorder="1" applyAlignment="1">
      <alignment horizontal="left" indent="4"/>
    </xf>
    <xf numFmtId="1" fontId="0" fillId="9" borderId="1" xfId="0" applyNumberFormat="1" applyFill="1" applyBorder="1" applyAlignment="1">
      <alignment horizontal="left" indent="2"/>
    </xf>
    <xf numFmtId="0" fontId="0" fillId="9" borderId="1" xfId="0" applyFill="1" applyBorder="1" applyAlignment="1">
      <alignment horizontal="left" indent="2"/>
    </xf>
    <xf numFmtId="170" fontId="0" fillId="9" borderId="1" xfId="3" applyNumberFormat="1" applyFont="1" applyFill="1" applyBorder="1" applyAlignment="1">
      <alignment horizontal="left"/>
    </xf>
    <xf numFmtId="171" fontId="0" fillId="9" borderId="1" xfId="3" applyNumberFormat="1" applyFont="1" applyFill="1" applyBorder="1" applyAlignment="1">
      <alignment horizontal="left"/>
    </xf>
    <xf numFmtId="0" fontId="0" fillId="9" borderId="1" xfId="0" applyFill="1" applyBorder="1" applyAlignment="1">
      <alignment horizontal="left" wrapText="1" indent="2"/>
    </xf>
    <xf numFmtId="170" fontId="0" fillId="9" borderId="1" xfId="3" applyNumberFormat="1" applyFont="1" applyFill="1" applyBorder="1" applyAlignment="1">
      <alignment horizontal="left" wrapText="1"/>
    </xf>
    <xf numFmtId="44" fontId="0" fillId="9" borderId="1" xfId="3" applyFont="1" applyFill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6" fillId="0" borderId="0" xfId="0" applyFont="1"/>
    <xf numFmtId="0" fontId="36" fillId="9" borderId="0" xfId="0" applyFont="1" applyFill="1"/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13" borderId="1" xfId="0" applyFill="1" applyBorder="1"/>
    <xf numFmtId="0" fontId="0" fillId="6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36" fillId="9" borderId="0" xfId="0" applyFont="1" applyFill="1" applyAlignment="1">
      <alignment vertical="center"/>
    </xf>
    <xf numFmtId="0" fontId="27" fillId="9" borderId="0" xfId="0" applyFont="1" applyFill="1" applyAlignment="1">
      <alignment vertical="center"/>
    </xf>
    <xf numFmtId="3" fontId="0" fillId="9" borderId="1" xfId="0" applyNumberFormat="1" applyFill="1" applyBorder="1"/>
    <xf numFmtId="1" fontId="0" fillId="9" borderId="1" xfId="0" applyNumberFormat="1" applyFill="1" applyBorder="1"/>
    <xf numFmtId="0" fontId="0" fillId="9" borderId="1" xfId="0" quotePrefix="1" applyFill="1" applyBorder="1"/>
    <xf numFmtId="184" fontId="0" fillId="9" borderId="1" xfId="0" applyNumberFormat="1" applyFill="1" applyBorder="1"/>
    <xf numFmtId="0" fontId="6" fillId="9" borderId="1" xfId="0" applyFont="1" applyFill="1" applyBorder="1" applyAlignment="1">
      <alignment horizontal="center" vertical="center"/>
    </xf>
    <xf numFmtId="0" fontId="0" fillId="9" borderId="7" xfId="0" applyFill="1" applyBorder="1"/>
    <xf numFmtId="0" fontId="8" fillId="9" borderId="1" xfId="1" applyFill="1" applyBorder="1" applyAlignment="1">
      <alignment horizontal="left" vertical="center"/>
    </xf>
    <xf numFmtId="2" fontId="0" fillId="0" borderId="1" xfId="0" applyNumberFormat="1" applyBorder="1"/>
    <xf numFmtId="49" fontId="1" fillId="9" borderId="7" xfId="0" applyNumberFormat="1" applyFont="1" applyFill="1" applyBorder="1" applyAlignment="1">
      <alignment horizontal="left" wrapText="1"/>
    </xf>
    <xf numFmtId="2" fontId="0" fillId="0" borderId="2" xfId="0" applyNumberFormat="1" applyBorder="1"/>
    <xf numFmtId="0" fontId="0" fillId="9" borderId="3" xfId="0" quotePrefix="1" applyFill="1" applyBorder="1"/>
    <xf numFmtId="2" fontId="0" fillId="9" borderId="5" xfId="0" applyNumberFormat="1" applyFill="1" applyBorder="1"/>
    <xf numFmtId="214" fontId="0" fillId="0" borderId="0" xfId="0" applyNumberFormat="1"/>
    <xf numFmtId="0" fontId="8" fillId="9" borderId="1" xfId="1" applyFill="1" applyBorder="1"/>
    <xf numFmtId="0" fontId="8" fillId="2" borderId="15" xfId="1" applyFill="1" applyBorder="1" applyAlignment="1">
      <alignment horizontal="left" vertical="center"/>
    </xf>
    <xf numFmtId="0" fontId="0" fillId="9" borderId="7" xfId="0" applyFill="1" applyBorder="1" applyAlignment="1">
      <alignment horizontal="center" vertical="center" wrapText="1"/>
    </xf>
    <xf numFmtId="0" fontId="8" fillId="9" borderId="15" xfId="1" applyFill="1" applyBorder="1" applyAlignment="1">
      <alignment horizontal="left" vertical="center"/>
    </xf>
    <xf numFmtId="0" fontId="2" fillId="9" borderId="1" xfId="0" applyFont="1" applyFill="1" applyBorder="1"/>
    <xf numFmtId="0" fontId="37" fillId="9" borderId="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169" fontId="0" fillId="9" borderId="1" xfId="0" applyNumberFormat="1" applyFill="1" applyBorder="1"/>
    <xf numFmtId="0" fontId="6" fillId="9" borderId="7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2" fontId="0" fillId="0" borderId="5" xfId="0" applyNumberFormat="1" applyBorder="1"/>
    <xf numFmtId="2" fontId="8" fillId="0" borderId="11" xfId="1" applyNumberFormat="1" applyBorder="1"/>
    <xf numFmtId="0" fontId="0" fillId="6" borderId="5" xfId="0" applyFill="1" applyBorder="1"/>
    <xf numFmtId="0" fontId="0" fillId="9" borderId="5" xfId="0" applyFill="1" applyBorder="1"/>
    <xf numFmtId="0" fontId="37" fillId="9" borderId="5" xfId="0" applyFont="1" applyFill="1" applyBorder="1" applyAlignment="1">
      <alignment horizontal="center" vertical="center"/>
    </xf>
    <xf numFmtId="9" fontId="0" fillId="0" borderId="0" xfId="4" applyFont="1" applyAlignment="1">
      <alignment horizontal="left"/>
    </xf>
    <xf numFmtId="0" fontId="6" fillId="12" borderId="18" xfId="0" applyFont="1" applyFill="1" applyBorder="1" applyAlignment="1">
      <alignment horizontal="center" vertical="center" wrapText="1"/>
    </xf>
    <xf numFmtId="0" fontId="8" fillId="12" borderId="21" xfId="1" applyFill="1" applyBorder="1" applyAlignment="1">
      <alignment horizontal="left" vertical="center"/>
    </xf>
    <xf numFmtId="0" fontId="0" fillId="9" borderId="3" xfId="0" applyFill="1" applyBorder="1"/>
    <xf numFmtId="169" fontId="16" fillId="9" borderId="1" xfId="0" applyNumberFormat="1" applyFont="1" applyFill="1" applyBorder="1"/>
    <xf numFmtId="184" fontId="16" fillId="9" borderId="1" xfId="0" applyNumberFormat="1" applyFont="1" applyFill="1" applyBorder="1"/>
    <xf numFmtId="217" fontId="0" fillId="0" borderId="0" xfId="0" applyNumberFormat="1"/>
    <xf numFmtId="215" fontId="0" fillId="0" borderId="0" xfId="0" applyNumberFormat="1"/>
    <xf numFmtId="9" fontId="8" fillId="0" borderId="0" xfId="1" applyNumberFormat="1" applyAlignment="1">
      <alignment horizontal="center"/>
    </xf>
    <xf numFmtId="9" fontId="0" fillId="0" borderId="31" xfId="0" applyNumberFormat="1" applyBorder="1"/>
    <xf numFmtId="0" fontId="13" fillId="0" borderId="21" xfId="0" applyFont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183" fontId="0" fillId="0" borderId="34" xfId="0" applyNumberFormat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83" fontId="0" fillId="0" borderId="35" xfId="0" applyNumberFormat="1" applyBorder="1" applyAlignment="1">
      <alignment horizontal="center" vertical="center"/>
    </xf>
    <xf numFmtId="183" fontId="0" fillId="0" borderId="50" xfId="0" applyNumberFormat="1" applyBorder="1" applyAlignment="1">
      <alignment horizontal="center" vertical="center"/>
    </xf>
    <xf numFmtId="0" fontId="0" fillId="0" borderId="0" xfId="0" applyAlignment="1">
      <alignment horizontal="left" vertical="top" indent="4"/>
    </xf>
    <xf numFmtId="183" fontId="0" fillId="0" borderId="7" xfId="0" applyNumberFormat="1" applyBorder="1" applyAlignment="1">
      <alignment horizontal="center" vertical="center"/>
    </xf>
    <xf numFmtId="183" fontId="0" fillId="0" borderId="18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83" fontId="0" fillId="0" borderId="2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7" xfId="2" applyNumberFormat="1" applyFont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 vertical="center"/>
    </xf>
    <xf numFmtId="1" fontId="0" fillId="0" borderId="12" xfId="2" applyNumberFormat="1" applyFont="1" applyBorder="1" applyAlignment="1">
      <alignment horizontal="center" vertical="center"/>
    </xf>
    <xf numFmtId="1" fontId="0" fillId="0" borderId="31" xfId="2" applyNumberFormat="1" applyFont="1" applyBorder="1" applyAlignment="1">
      <alignment horizontal="center" vertical="center"/>
    </xf>
    <xf numFmtId="1" fontId="0" fillId="0" borderId="10" xfId="2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8" fontId="0" fillId="0" borderId="12" xfId="2" applyNumberFormat="1" applyFont="1" applyBorder="1" applyAlignment="1">
      <alignment horizontal="center" vertical="center"/>
    </xf>
    <xf numFmtId="168" fontId="0" fillId="0" borderId="10" xfId="2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85" fontId="0" fillId="0" borderId="1" xfId="3" applyNumberFormat="1" applyFont="1" applyBorder="1" applyAlignment="1">
      <alignment horizontal="center" vertical="center"/>
    </xf>
    <xf numFmtId="185" fontId="0" fillId="0" borderId="17" xfId="3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5" fillId="2" borderId="43" xfId="0" applyNumberFormat="1" applyFont="1" applyFill="1" applyBorder="1" applyAlignment="1">
      <alignment horizontal="left" vertical="center"/>
    </xf>
    <xf numFmtId="49" fontId="15" fillId="2" borderId="46" xfId="0" applyNumberFormat="1" applyFont="1" applyFill="1" applyBorder="1" applyAlignment="1">
      <alignment horizontal="left" vertical="center"/>
    </xf>
    <xf numFmtId="49" fontId="15" fillId="2" borderId="40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3" fontId="0" fillId="0" borderId="7" xfId="2" applyNumberFormat="1" applyFont="1" applyBorder="1" applyAlignment="1">
      <alignment horizontal="center" vertical="center"/>
    </xf>
    <xf numFmtId="3" fontId="0" fillId="0" borderId="2" xfId="2" applyNumberFormat="1" applyFon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8" fillId="12" borderId="8" xfId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/>
    </xf>
    <xf numFmtId="0" fontId="2" fillId="12" borderId="32" xfId="0" applyFont="1" applyFill="1" applyBorder="1" applyAlignment="1">
      <alignment horizontal="center" vertical="center" wrapText="1"/>
    </xf>
    <xf numFmtId="0" fontId="2" fillId="12" borderId="33" xfId="0" applyFont="1" applyFill="1" applyBorder="1" applyAlignment="1">
      <alignment horizontal="center" vertical="center"/>
    </xf>
    <xf numFmtId="0" fontId="9" fillId="11" borderId="12" xfId="1" applyFont="1" applyFill="1" applyBorder="1" applyAlignment="1">
      <alignment horizontal="left" vertical="center"/>
    </xf>
    <xf numFmtId="0" fontId="9" fillId="11" borderId="31" xfId="1" applyFont="1" applyFill="1" applyBorder="1" applyAlignment="1">
      <alignment horizontal="left" vertical="center"/>
    </xf>
    <xf numFmtId="0" fontId="8" fillId="12" borderId="8" xfId="1" applyFill="1" applyBorder="1" applyAlignment="1">
      <alignment horizontal="left" vertical="center"/>
    </xf>
    <xf numFmtId="0" fontId="11" fillId="12" borderId="19" xfId="0" applyFont="1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11" borderId="7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2" borderId="8" xfId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9" fillId="12" borderId="19" xfId="1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0" fontId="8" fillId="2" borderId="8" xfId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0" fillId="0" borderId="23" xfId="2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13" xfId="2" applyNumberFormat="1" applyFont="1" applyBorder="1" applyAlignment="1">
      <alignment horizontal="center" vertical="center"/>
    </xf>
    <xf numFmtId="1" fontId="0" fillId="0" borderId="11" xfId="2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85" fontId="0" fillId="0" borderId="7" xfId="3" applyNumberFormat="1" applyFont="1" applyBorder="1" applyAlignment="1">
      <alignment horizontal="center" vertical="center"/>
    </xf>
    <xf numFmtId="185" fontId="0" fillId="0" borderId="2" xfId="3" applyNumberFormat="1" applyFont="1" applyBorder="1" applyAlignment="1">
      <alignment horizontal="center" vertical="center"/>
    </xf>
    <xf numFmtId="183" fontId="0" fillId="0" borderId="13" xfId="0" applyNumberFormat="1" applyBorder="1" applyAlignment="1">
      <alignment horizontal="center" vertical="center"/>
    </xf>
    <xf numFmtId="183" fontId="0" fillId="0" borderId="11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 wrapText="1"/>
    </xf>
    <xf numFmtId="0" fontId="9" fillId="11" borderId="8" xfId="1" applyFont="1" applyFill="1" applyBorder="1" applyAlignment="1">
      <alignment horizontal="left" vertical="center"/>
    </xf>
    <xf numFmtId="0" fontId="9" fillId="11" borderId="19" xfId="1" applyFont="1" applyFill="1" applyBorder="1" applyAlignment="1">
      <alignment horizontal="left" vertical="center"/>
    </xf>
    <xf numFmtId="0" fontId="9" fillId="11" borderId="9" xfId="1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12" borderId="7" xfId="0" applyNumberFormat="1" applyFill="1" applyBorder="1" applyAlignment="1">
      <alignment horizontal="center" vertical="center"/>
    </xf>
    <xf numFmtId="49" fontId="0" fillId="12" borderId="2" xfId="0" applyNumberForma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32" fillId="11" borderId="57" xfId="0" applyFont="1" applyFill="1" applyBorder="1" applyAlignment="1">
      <alignment horizontal="center" vertical="center"/>
    </xf>
    <xf numFmtId="0" fontId="32" fillId="11" borderId="58" xfId="0" applyFont="1" applyFill="1" applyBorder="1" applyAlignment="1">
      <alignment horizontal="center" vertical="center"/>
    </xf>
    <xf numFmtId="0" fontId="32" fillId="11" borderId="59" xfId="0" applyFont="1" applyFill="1" applyBorder="1" applyAlignment="1">
      <alignment horizontal="center" vertical="center"/>
    </xf>
    <xf numFmtId="0" fontId="32" fillId="11" borderId="60" xfId="0" applyFont="1" applyFill="1" applyBorder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32" fillId="11" borderId="61" xfId="0" applyFont="1" applyFill="1" applyBorder="1" applyAlignment="1">
      <alignment horizontal="center" vertical="center"/>
    </xf>
    <xf numFmtId="0" fontId="32" fillId="11" borderId="62" xfId="0" applyFont="1" applyFill="1" applyBorder="1" applyAlignment="1">
      <alignment horizontal="center" vertical="center"/>
    </xf>
    <xf numFmtId="0" fontId="32" fillId="11" borderId="63" xfId="0" applyFont="1" applyFill="1" applyBorder="1" applyAlignment="1">
      <alignment horizontal="center" vertical="center"/>
    </xf>
    <xf numFmtId="0" fontId="32" fillId="11" borderId="64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 wrapText="1"/>
    </xf>
    <xf numFmtId="49" fontId="0" fillId="9" borderId="3" xfId="0" applyNumberFormat="1" applyFill="1" applyBorder="1" applyAlignment="1">
      <alignment horizontal="left" vertical="center" wrapText="1"/>
    </xf>
    <xf numFmtId="49" fontId="0" fillId="9" borderId="5" xfId="0" applyNumberForma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27" fillId="9" borderId="7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9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206" fontId="1" fillId="0" borderId="3" xfId="0" applyNumberFormat="1" applyFont="1" applyBorder="1" applyAlignment="1">
      <alignment horizontal="right" vertical="center"/>
    </xf>
    <xf numFmtId="206" fontId="1" fillId="0" borderId="5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9" fontId="0" fillId="0" borderId="7" xfId="4" applyFont="1" applyBorder="1" applyAlignment="1">
      <alignment horizontal="center"/>
    </xf>
    <xf numFmtId="9" fontId="0" fillId="0" borderId="2" xfId="4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7" xfId="4" applyNumberFormat="1" applyFont="1" applyBorder="1" applyAlignment="1">
      <alignment horizontal="center"/>
    </xf>
    <xf numFmtId="10" fontId="0" fillId="0" borderId="2" xfId="4" applyNumberFormat="1" applyFont="1" applyBorder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00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201" fontId="0" fillId="0" borderId="0" xfId="0" applyNumberFormat="1" applyFill="1" applyAlignment="1">
      <alignment horizontal="left"/>
    </xf>
    <xf numFmtId="202" fontId="0" fillId="0" borderId="0" xfId="0" applyNumberFormat="1" applyFill="1" applyAlignment="1">
      <alignment horizontal="left"/>
    </xf>
    <xf numFmtId="203" fontId="0" fillId="0" borderId="0" xfId="0" applyNumberFormat="1" applyFill="1" applyAlignment="1">
      <alignment horizontal="left"/>
    </xf>
    <xf numFmtId="177" fontId="0" fillId="0" borderId="0" xfId="0" applyNumberFormat="1" applyFill="1" applyAlignment="1">
      <alignment horizontal="left"/>
    </xf>
    <xf numFmtId="182" fontId="0" fillId="0" borderId="0" xfId="0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9" fontId="1" fillId="0" borderId="0" xfId="0" applyNumberFormat="1" applyFont="1" applyFill="1" applyAlignment="1">
      <alignment horizontal="left"/>
    </xf>
    <xf numFmtId="179" fontId="16" fillId="0" borderId="0" xfId="0" applyNumberFormat="1" applyFont="1" applyFill="1" applyAlignment="1">
      <alignment horizontal="left"/>
    </xf>
    <xf numFmtId="176" fontId="16" fillId="0" borderId="0" xfId="0" applyNumberFormat="1" applyFont="1" applyFill="1" applyAlignment="1">
      <alignment horizontal="left"/>
    </xf>
    <xf numFmtId="179" fontId="0" fillId="0" borderId="0" xfId="0" applyNumberFormat="1" applyFill="1" applyAlignment="1">
      <alignment horizontal="left"/>
    </xf>
    <xf numFmtId="186" fontId="1" fillId="0" borderId="0" xfId="0" applyNumberFormat="1" applyFont="1" applyFill="1" applyAlignment="1">
      <alignment horizontal="left"/>
    </xf>
    <xf numFmtId="186" fontId="16" fillId="0" borderId="0" xfId="0" applyNumberFormat="1" applyFont="1" applyFill="1" applyAlignment="1">
      <alignment horizontal="left"/>
    </xf>
    <xf numFmtId="196" fontId="16" fillId="0" borderId="0" xfId="0" applyNumberFormat="1" applyFont="1" applyFill="1" applyAlignment="1">
      <alignment horizontal="left"/>
    </xf>
    <xf numFmtId="184" fontId="0" fillId="0" borderId="0" xfId="0" applyNumberFormat="1" applyFill="1" applyAlignment="1">
      <alignment horizontal="left"/>
    </xf>
    <xf numFmtId="184" fontId="1" fillId="0" borderId="0" xfId="0" applyNumberFormat="1" applyFont="1" applyFill="1" applyAlignment="1">
      <alignment horizontal="left"/>
    </xf>
    <xf numFmtId="184" fontId="0" fillId="0" borderId="0" xfId="0" applyNumberFormat="1" applyFill="1" applyAlignment="1">
      <alignment horizontal="left" vertical="top"/>
    </xf>
    <xf numFmtId="184" fontId="1" fillId="0" borderId="0" xfId="0" applyNumberFormat="1" applyFont="1" applyFill="1" applyAlignment="1">
      <alignment horizontal="left" vertical="top"/>
    </xf>
    <xf numFmtId="187" fontId="0" fillId="0" borderId="0" xfId="0" applyNumberFormat="1" applyFill="1" applyAlignment="1">
      <alignment horizontal="left" vertical="top"/>
    </xf>
    <xf numFmtId="0" fontId="0" fillId="0" borderId="0" xfId="0" applyFill="1"/>
    <xf numFmtId="204" fontId="16" fillId="0" borderId="0" xfId="0" applyNumberFormat="1" applyFont="1" applyFill="1" applyAlignment="1">
      <alignment horizontal="left" indent="1"/>
    </xf>
    <xf numFmtId="193" fontId="0" fillId="0" borderId="0" xfId="0" applyNumberFormat="1" applyFill="1" applyAlignment="1">
      <alignment horizontal="center"/>
    </xf>
    <xf numFmtId="194" fontId="0" fillId="0" borderId="0" xfId="0" applyNumberFormat="1" applyFill="1" applyAlignment="1">
      <alignment horizontal="center"/>
    </xf>
    <xf numFmtId="188" fontId="0" fillId="0" borderId="0" xfId="4" applyNumberFormat="1" applyFont="1" applyFill="1" applyAlignment="1">
      <alignment horizontal="center"/>
    </xf>
    <xf numFmtId="190" fontId="0" fillId="0" borderId="0" xfId="4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88" fontId="0" fillId="0" borderId="0" xfId="4" applyNumberFormat="1" applyFont="1" applyFill="1" applyAlignment="1">
      <alignment horizontal="left"/>
    </xf>
    <xf numFmtId="191" fontId="0" fillId="0" borderId="0" xfId="0" applyNumberFormat="1" applyFill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right" vertical="center"/>
    </xf>
    <xf numFmtId="181" fontId="0" fillId="0" borderId="34" xfId="0" applyNumberFormat="1" applyFill="1" applyBorder="1" applyAlignment="1">
      <alignment horizontal="center"/>
    </xf>
    <xf numFmtId="181" fontId="0" fillId="0" borderId="13" xfId="0" applyNumberFormat="1" applyFill="1" applyBorder="1" applyAlignment="1">
      <alignment horizontal="center"/>
    </xf>
    <xf numFmtId="168" fontId="0" fillId="0" borderId="1" xfId="2" applyNumberFormat="1" applyFont="1" applyFill="1" applyBorder="1"/>
    <xf numFmtId="185" fontId="0" fillId="0" borderId="1" xfId="3" applyNumberFormat="1" applyFont="1" applyFill="1" applyBorder="1"/>
    <xf numFmtId="0" fontId="0" fillId="0" borderId="1" xfId="0" applyFill="1" applyBorder="1"/>
    <xf numFmtId="185" fontId="0" fillId="0" borderId="1" xfId="0" applyNumberFormat="1" applyFill="1" applyBorder="1"/>
    <xf numFmtId="0" fontId="9" fillId="0" borderId="1" xfId="1" applyFont="1" applyFill="1" applyBorder="1"/>
    <xf numFmtId="206" fontId="1" fillId="0" borderId="3" xfId="0" applyNumberFormat="1" applyFont="1" applyFill="1" applyBorder="1" applyAlignment="1">
      <alignment horizontal="right" vertical="center"/>
    </xf>
    <xf numFmtId="206" fontId="1" fillId="0" borderId="5" xfId="0" applyNumberFormat="1" applyFont="1" applyFill="1" applyBorder="1" applyAlignment="1">
      <alignment horizontal="right" vertical="center"/>
    </xf>
    <xf numFmtId="206" fontId="1" fillId="0" borderId="1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</cellXfs>
  <cellStyles count="5">
    <cellStyle name="Hyperlink" xfId="1" builtinId="8"/>
    <cellStyle name="Komma" xfId="2" builtinId="3"/>
    <cellStyle name="Procent" xfId="4" builtinId="5"/>
    <cellStyle name="Standaard" xfId="0" builtinId="0"/>
    <cellStyle name="Valuta" xfId="3" builtinId="4"/>
  </cellStyles>
  <dxfs count="7">
    <dxf>
      <font>
        <b/>
        <i val="0"/>
        <color theme="5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theme="7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 patternType="solid">
          <fgColor rgb="FF71C27C"/>
          <bgColor rgb="FF000000"/>
        </patternFill>
      </fill>
    </dxf>
    <dxf>
      <fill>
        <patternFill patternType="solid">
          <fgColor rgb="FF71C27C"/>
          <bgColor rgb="FF00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55788</xdr:colOff>
      <xdr:row>116</xdr:row>
      <xdr:rowOff>0</xdr:rowOff>
    </xdr:from>
    <xdr:to>
      <xdr:col>15</xdr:col>
      <xdr:colOff>1404996</xdr:colOff>
      <xdr:row>128</xdr:row>
      <xdr:rowOff>110850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AD55B0-6870-4EEC-BA64-957E342A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3238" y="16002000"/>
          <a:ext cx="4192101" cy="239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326652</xdr:colOff>
      <xdr:row>143</xdr:row>
      <xdr:rowOff>8404</xdr:rowOff>
    </xdr:from>
    <xdr:to>
      <xdr:col>22</xdr:col>
      <xdr:colOff>1329840</xdr:colOff>
      <xdr:row>159</xdr:row>
      <xdr:rowOff>73176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E1778E-0F90-47F5-B921-AD1CC76D6FD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4997"/>
        <a:stretch/>
      </xdr:blipFill>
      <xdr:spPr bwMode="auto">
        <a:xfrm>
          <a:off x="24701127" y="21153904"/>
          <a:ext cx="3860687" cy="31127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6-03-23T10:36:02.04" personId="{00000000-0000-0000-0000-000000000000}" id="{B503484A-3874-4303-B78D-4B5EB2395F84}">
    <text>Cyclin</text>
  </threadedComment>
  <threadedComment ref="I4" dT="2026-03-23T10:36:18.37" personId="{00000000-0000-0000-0000-000000000000}" id="{00C3910A-EB07-4692-82B2-F18463FB5C3E}" parentId="{B503484A-3874-4303-B78D-4B5EB2395F84}">
    <text>vlasisolatie</text>
  </threadedComment>
  <threadedComment ref="U5" dT="2026-03-23T09:53:39.51" personId="{00000000-0000-0000-0000-000000000000}" id="{8D060156-9421-4B9B-91AC-01AC2A6AE9BC}">
    <text>Bestaat niet meer, maar loonwerkersbedrijf zit nog in een aantal andere projecten: https://projecten.topsectorenergie.nl/projecten/van-grassnippers-naar-houtsnippers-27542 zie literatuur</text>
    <extLst>
      <x:ext xmlns:xltc2="http://schemas.microsoft.com/office/spreadsheetml/2020/threadedcomments2" uri="{F7C98A9C-CBB3-438F-8F68-D28B6AF4A901}">
        <xltc2:checksum>1282472467</xltc2:checksum>
        <xltc2:hyperlink startIndex="83" length="88" url="https://projecten.topsectorenergie.nl/projecten/van-grassnippers-naar-houtsnippers-27542"/>
      </x:ext>
    </extLst>
  </threadedComment>
  <threadedComment ref="AF5" dT="2026-03-23T09:57:10.88" personId="{00000000-0000-0000-0000-000000000000}" id="{EF116D7C-4C64-4F7E-B7FC-9A9B5DDDD931}">
    <text>Indugras is niet meer, ECN is samengegaan met TNO</text>
  </threadedComment>
  <threadedComment ref="AT5" dT="2026-03-23T10:12:22.96" personId="{00000000-0000-0000-0000-000000000000}" id="{424A8080-5037-45BB-B0FF-B6379A678DD0}">
    <text>Nu biobrandstof (drogen, ontzouten) en veenvervanger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ertoro.nl/" TargetMode="External"/><Relationship Id="rId18" Type="http://schemas.openxmlformats.org/officeDocument/2006/relationships/hyperlink" Target="https://www.aquafarm.nl/" TargetMode="External"/><Relationship Id="rId26" Type="http://schemas.openxmlformats.org/officeDocument/2006/relationships/hyperlink" Target="http://edepot.wur.nl/148665" TargetMode="External"/><Relationship Id="rId39" Type="http://schemas.openxmlformats.org/officeDocument/2006/relationships/hyperlink" Target="https://www.gramitherm.eu/nl" TargetMode="External"/><Relationship Id="rId21" Type="http://schemas.openxmlformats.org/officeDocument/2006/relationships/hyperlink" Target="https://www.ecn.nl/phyllis2/Browse/Standard/ECN-Phyllis" TargetMode="External"/><Relationship Id="rId34" Type="http://schemas.openxmlformats.org/officeDocument/2006/relationships/hyperlink" Target="https://www.winnovatie.nl/innovaties-openbaar/2417339.aspx" TargetMode="External"/><Relationship Id="rId42" Type="http://schemas.openxmlformats.org/officeDocument/2006/relationships/hyperlink" Target="https://natuurlijkereststromen.nl/wp-content/uploads/2025/07/veenvervangers-voor-innovatieve-teeltsystemen-sign-maart-2023.pdf" TargetMode="External"/><Relationship Id="rId47" Type="http://schemas.openxmlformats.org/officeDocument/2006/relationships/hyperlink" Target="https://www.anwb.nl/energie/wat-kost-1-kwh" TargetMode="External"/><Relationship Id="rId50" Type="http://schemas.openxmlformats.org/officeDocument/2006/relationships/hyperlink" Target="https://vepa.nl/duurzaam/recyclen-van-pet-flessen/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://www.hollandbioplastics.nl/wat-zijn-bioplastics/productenverwerkers/" TargetMode="External"/><Relationship Id="rId2" Type="http://schemas.openxmlformats.org/officeDocument/2006/relationships/hyperlink" Target="http://www.netics.nl/producten/bouwen-met-baggerspecie/" TargetMode="External"/><Relationship Id="rId16" Type="http://schemas.openxmlformats.org/officeDocument/2006/relationships/hyperlink" Target="https://www.ecn.nl/publications/PdfFetch.aspx?nr=ECN-L--13-038" TargetMode="External"/><Relationship Id="rId29" Type="http://schemas.openxmlformats.org/officeDocument/2006/relationships/hyperlink" Target="https://agricycling.nl/content/uploads/2025/09/Maatschappelijke-rapportage-Agricycling.pdf" TargetMode="External"/><Relationship Id="rId11" Type="http://schemas.openxmlformats.org/officeDocument/2006/relationships/hyperlink" Target="https://perpetualnext.com/actueel/persbericht-perpetual-next-integreert-torrcoal-en-vormt-de-grootste-mondiale-speler-in-duurzame-technologie-om-fossiele-kolen-te-vervangen/" TargetMode="External"/><Relationship Id="rId24" Type="http://schemas.openxmlformats.org/officeDocument/2006/relationships/hyperlink" Target="http://www.harvestagg.nl/green-goods-concept1.html" TargetMode="External"/><Relationship Id="rId32" Type="http://schemas.openxmlformats.org/officeDocument/2006/relationships/hyperlink" Target="https://greenhub-zuidholland.nl/" TargetMode="External"/><Relationship Id="rId37" Type="http://schemas.openxmlformats.org/officeDocument/2006/relationships/hyperlink" Target="https://ntp.nl/asfalt/grasfalt/" TargetMode="External"/><Relationship Id="rId40" Type="http://schemas.openxmlformats.org/officeDocument/2006/relationships/hyperlink" Target="http://www.npsp.nl/page.asp?ID=14" TargetMode="External"/><Relationship Id="rId45" Type="http://schemas.openxmlformats.org/officeDocument/2006/relationships/hyperlink" Target="https://www.ecopedia.be/artikel/mono-bermgrasvergisting-energiecampus-leeuwarden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grassa.nl/" TargetMode="External"/><Relationship Id="rId19" Type="http://schemas.openxmlformats.org/officeDocument/2006/relationships/hyperlink" Target="file:///C:\Users\dennis\Downloads\Dennis%20Froeling%20HVC%20Presentatie%20bermgrasverwerking%20Stadswerk%20170202.pdf" TargetMode="External"/><Relationship Id="rId4" Type="http://schemas.openxmlformats.org/officeDocument/2006/relationships/hyperlink" Target="https://www.winnovatie.nl/innovaties-openbaar/2417339.aspx" TargetMode="External"/><Relationship Id="rId9" Type="http://schemas.openxmlformats.org/officeDocument/2006/relationships/hyperlink" Target="https://www.millvision.eu/" TargetMode="External"/><Relationship Id="rId14" Type="http://schemas.openxmlformats.org/officeDocument/2006/relationships/hyperlink" Target="https://www.grass2grit.nl/" TargetMode="External"/><Relationship Id="rId22" Type="http://schemas.openxmlformats.org/officeDocument/2006/relationships/hyperlink" Target="http://www.innovatieagroennatuur.nl/sitemanager/downloadattachment.php?id=1lOMbyQa2hHMJu4FQYSurK" TargetMode="External"/><Relationship Id="rId27" Type="http://schemas.openxmlformats.org/officeDocument/2006/relationships/hyperlink" Target="http://ecp-biomass.eu/node/83" TargetMode="External"/><Relationship Id="rId30" Type="http://schemas.openxmlformats.org/officeDocument/2006/relationships/hyperlink" Target="https://biomeiler.nl/" TargetMode="External"/><Relationship Id="rId35" Type="http://schemas.openxmlformats.org/officeDocument/2006/relationships/hyperlink" Target="https://grassa.nl/" TargetMode="External"/><Relationship Id="rId43" Type="http://schemas.openxmlformats.org/officeDocument/2006/relationships/hyperlink" Target="https://www.voorbijpapier.nl/" TargetMode="External"/><Relationship Id="rId48" Type="http://schemas.openxmlformats.org/officeDocument/2006/relationships/hyperlink" Target="https://www.anwb.nl/energie/wat-kost-een-kuub-gas" TargetMode="External"/><Relationship Id="rId56" Type="http://schemas.openxmlformats.org/officeDocument/2006/relationships/comments" Target="../comments1.xml"/><Relationship Id="rId8" Type="http://schemas.openxmlformats.org/officeDocument/2006/relationships/hyperlink" Target="http://verbruggen-paddestoelen.nl/innovatie/" TargetMode="External"/><Relationship Id="rId51" Type="http://schemas.openxmlformats.org/officeDocument/2006/relationships/hyperlink" Target="https://agricycling.nl/content/uploads/2025/09/Maatschappelijke-rapportage-Agricycling.pdf" TargetMode="External"/><Relationship Id="rId3" Type="http://schemas.openxmlformats.org/officeDocument/2006/relationships/hyperlink" Target="http://www.npsp.nl/page.asp?ID=14" TargetMode="External"/><Relationship Id="rId12" Type="http://schemas.openxmlformats.org/officeDocument/2006/relationships/hyperlink" Target="https://vepa.nl/duurzaam/recyclen-van-pet-flessen/" TargetMode="External"/><Relationship Id="rId17" Type="http://schemas.openxmlformats.org/officeDocument/2006/relationships/hyperlink" Target="http://edepot.wur.nl/329929" TargetMode="External"/><Relationship Id="rId25" Type="http://schemas.openxmlformats.org/officeDocument/2006/relationships/hyperlink" Target="http://edepot.wur.nl/453178" TargetMode="External"/><Relationship Id="rId33" Type="http://schemas.openxmlformats.org/officeDocument/2006/relationships/hyperlink" Target="https://www.btg-bioliquids.com/" TargetMode="External"/><Relationship Id="rId38" Type="http://schemas.openxmlformats.org/officeDocument/2006/relationships/hyperlink" Target="http://biobound.nl/producten/circulaire-biobased-betontegels/" TargetMode="External"/><Relationship Id="rId46" Type="http://schemas.openxmlformats.org/officeDocument/2006/relationships/hyperlink" Target="https://www.change.inc/agri-food/proeffabriek-grassa-helpt-boer-natuur-en-klimaat-met-bioraffinage-van-gras-38258" TargetMode="External"/><Relationship Id="rId20" Type="http://schemas.openxmlformats.org/officeDocument/2006/relationships/hyperlink" Target="https://www.ecn.nl/phyllis2/Browse/Standard/ECN-Phyllis" TargetMode="External"/><Relationship Id="rId41" Type="http://schemas.openxmlformats.org/officeDocument/2006/relationships/hyperlink" Target="https://groenkennisnet.nl/nieuwsitem/bokashi-van-maaisel-tot-meerwaarde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newfoss.com/" TargetMode="External"/><Relationship Id="rId6" Type="http://schemas.openxmlformats.org/officeDocument/2006/relationships/hyperlink" Target="http://www.bambooder.nl/" TargetMode="External"/><Relationship Id="rId15" Type="http://schemas.openxmlformats.org/officeDocument/2006/relationships/hyperlink" Target="https://d4.nl/bermgrasvergisting/" TargetMode="External"/><Relationship Id="rId23" Type="http://schemas.openxmlformats.org/officeDocument/2006/relationships/hyperlink" Target="https://mineralvalley.nl/wp-content/uploads/sites/3/2018/07/Draft-rapport-bermmaaisel.pdf" TargetMode="External"/><Relationship Id="rId28" Type="http://schemas.openxmlformats.org/officeDocument/2006/relationships/hyperlink" Target="https://nmi-agro.nl/images/Rapport_1379-Samenvatting-en-conclusies.pdf" TargetMode="External"/><Relationship Id="rId36" Type="http://schemas.openxmlformats.org/officeDocument/2006/relationships/hyperlink" Target="https://bioblocks.nl/" TargetMode="External"/><Relationship Id="rId49" Type="http://schemas.openxmlformats.org/officeDocument/2006/relationships/hyperlink" Target="https://restorecarbon.eu/nl/maairesten-onder-de-grond-opslaan-blijkt-nieuw-verdienmodel-ik-vond-het-een-heel-gek-idee/" TargetMode="External"/><Relationship Id="rId57" Type="http://schemas.microsoft.com/office/2017/10/relationships/threadedComment" Target="../threadedComments/threadedComment1.xml"/><Relationship Id="rId10" Type="http://schemas.openxmlformats.org/officeDocument/2006/relationships/hyperlink" Target="http://www.biotortech.com/" TargetMode="External"/><Relationship Id="rId31" Type="http://schemas.openxmlformats.org/officeDocument/2006/relationships/hyperlink" Target="https://topsectorenergie.nl/documents/90/TKI_Nieuw_Gas-BTG_openbaar_eindrapport_vergassing_11_maart_2021_kaft_en_WCAG_-_210301.pdf" TargetMode="External"/><Relationship Id="rId44" Type="http://schemas.openxmlformats.org/officeDocument/2006/relationships/hyperlink" Target="https://edepot.wur.nl/3024" TargetMode="External"/><Relationship Id="rId52" Type="http://schemas.openxmlformats.org/officeDocument/2006/relationships/hyperlink" Target="https://edepot.wur.nl/42516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kwilbetonbestellen.nl/beton-prijs/" TargetMode="External"/><Relationship Id="rId13" Type="http://schemas.openxmlformats.org/officeDocument/2006/relationships/hyperlink" Target="https://www.abzdiervoeding.nl/grondstoffen/prijsverwachting-grondstoffen/" TargetMode="External"/><Relationship Id="rId18" Type="http://schemas.openxmlformats.org/officeDocument/2006/relationships/hyperlink" Target="https://edepot.wur.nl/425160" TargetMode="External"/><Relationship Id="rId3" Type="http://schemas.openxmlformats.org/officeDocument/2006/relationships/hyperlink" Target="https://agrimatie.nl/agrimatieprijzen/" TargetMode="External"/><Relationship Id="rId7" Type="http://schemas.openxmlformats.org/officeDocument/2006/relationships/hyperlink" Target="https://www.heemskerk-dairy.com/nl_NL/p/mono-calciumfosfaat-25-kg/307/" TargetMode="External"/><Relationship Id="rId12" Type="http://schemas.openxmlformats.org/officeDocument/2006/relationships/hyperlink" Target="https://inagro.be/teelt-en-dier/dieren/insecten/rentabiliteit-insectenkweek%20(kosten%20voor%20startmateriaal%202&#8364;/kg%20kwart%20van%20genomen)" TargetMode="External"/><Relationship Id="rId17" Type="http://schemas.openxmlformats.org/officeDocument/2006/relationships/hyperlink" Target="https://edepot.wur.nl/425160" TargetMode="External"/><Relationship Id="rId2" Type="http://schemas.openxmlformats.org/officeDocument/2006/relationships/hyperlink" Target="https://www.abzdiervoeding.nl/grondstoffen/prijsverwachting-grondstoffen/" TargetMode="External"/><Relationship Id="rId16" Type="http://schemas.openxmlformats.org/officeDocument/2006/relationships/hyperlink" Target="https://inagro.be/themas/groene-grondstoffen/hoe-hennep-telen/industriele-hennep-telen-rendabel" TargetMode="External"/><Relationship Id="rId1" Type="http://schemas.openxmlformats.org/officeDocument/2006/relationships/hyperlink" Target="https://nl.renovablesverdes.com/De-overheid-actualiseert-de-prijzen-van-biodiesel-en-bio-ethanol-in-oktober/" TargetMode="External"/><Relationship Id="rId6" Type="http://schemas.openxmlformats.org/officeDocument/2006/relationships/hyperlink" Target="https://www.nmi-agro.nl/wp-content/uploads/2021/09/Rapport-1812-Bokashi-pilot-eindrapport-140921-def.pdf" TargetMode="External"/><Relationship Id="rId11" Type="http://schemas.openxmlformats.org/officeDocument/2006/relationships/hyperlink" Target="https://www.mestverwaarding.nl/kenniscentrum/5049/afzetzekerheid-voor-groen-gas-is-groter-dan-voor-stroom" TargetMode="External"/><Relationship Id="rId5" Type="http://schemas.openxmlformats.org/officeDocument/2006/relationships/hyperlink" Target="https://www.intratec.us/solutions/primary-commodity-prices/commodity/syngas-prices" TargetMode="External"/><Relationship Id="rId15" Type="http://schemas.openxmlformats.org/officeDocument/2006/relationships/hyperlink" Target="https://www.123sierbestrating.nl/betonklinkers/?swoof=1&amp;orderby=price&amp;really_curr_tax=113-product_cat" TargetMode="External"/><Relationship Id="rId10" Type="http://schemas.openxmlformats.org/officeDocument/2006/relationships/hyperlink" Target="https://www.bo-akkerbouw.nl/dit-doen-wij/programma-onderzoek-en-innovatie/kennisakker" TargetMode="External"/><Relationship Id="rId19" Type="http://schemas.openxmlformats.org/officeDocument/2006/relationships/hyperlink" Target="https://raad.gemeente-steenbergen.nl/Vergaderingen/Oordeelvormende-vergadering/2020/13-mei/19:30/Bijlage-onderbouwing-werkzaamheden-Bijlandseweg-BBM2000189.pdf" TargetMode="External"/><Relationship Id="rId4" Type="http://schemas.openxmlformats.org/officeDocument/2006/relationships/hyperlink" Target="https://www.intratec.us/solutions/primary-commodity-prices/commodity/syngas-prices" TargetMode="External"/><Relationship Id="rId9" Type="http://schemas.openxmlformats.org/officeDocument/2006/relationships/hyperlink" Target="https://baetro-machining.com/nl/blog/dichtheid-van-beton/" TargetMode="External"/><Relationship Id="rId14" Type="http://schemas.openxmlformats.org/officeDocument/2006/relationships/hyperlink" Target="https://www.nieuweoogst.nl/marktprijzen/hooi-en-stro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dexmundi.com/" TargetMode="External"/><Relationship Id="rId2" Type="http://schemas.openxmlformats.org/officeDocument/2006/relationships/hyperlink" Target="http://edepot.wur.nl/383545" TargetMode="External"/><Relationship Id="rId1" Type="http://schemas.openxmlformats.org/officeDocument/2006/relationships/hyperlink" Target="http://edepot.wur.nl/425160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E2B1-47FC-4008-8E3B-9709944CA857}">
  <dimension ref="B1:AU238"/>
  <sheetViews>
    <sheetView showGridLines="0" zoomScaleNormal="100" workbookViewId="0">
      <pane xSplit="3" ySplit="50" topLeftCell="P56" activePane="bottomRight" state="frozen"/>
      <selection pane="topRight" activeCell="D1" sqref="D1"/>
      <selection pane="bottomLeft" activeCell="A51" sqref="A51"/>
      <selection pane="bottomRight" activeCell="R69" sqref="R69"/>
    </sheetView>
  </sheetViews>
  <sheetFormatPr defaultRowHeight="15" outlineLevelRow="1" outlineLevelCol="1" x14ac:dyDescent="0.25"/>
  <cols>
    <col min="2" max="2" width="31.7109375" customWidth="1"/>
    <col min="3" max="3" width="37.7109375" bestFit="1" customWidth="1"/>
    <col min="4" max="4" width="22.7109375" bestFit="1" customWidth="1"/>
    <col min="5" max="5" width="22.5703125" customWidth="1"/>
    <col min="6" max="6" width="22.28515625" customWidth="1"/>
    <col min="7" max="17" width="21.42578125" customWidth="1"/>
    <col min="18" max="18" width="23.85546875" bestFit="1" customWidth="1"/>
    <col min="19" max="19" width="37.28515625" customWidth="1"/>
    <col min="20" max="20" width="27.28515625" customWidth="1"/>
    <col min="21" max="21" width="21.42578125" customWidth="1"/>
    <col min="22" max="23" width="21.42578125" customWidth="1" outlineLevel="1"/>
    <col min="24" max="25" width="21.42578125" customWidth="1"/>
    <col min="26" max="26" width="21.42578125" customWidth="1" outlineLevel="1"/>
    <col min="27" max="29" width="21.42578125" customWidth="1"/>
    <col min="30" max="30" width="12.28515625" bestFit="1" customWidth="1"/>
    <col min="31" max="31" width="14.85546875" customWidth="1"/>
    <col min="32" max="33" width="21.42578125" customWidth="1"/>
    <col min="34" max="34" width="11.7109375" bestFit="1" customWidth="1"/>
    <col min="35" max="35" width="15.42578125" bestFit="1" customWidth="1"/>
    <col min="36" max="36" width="10" customWidth="1" outlineLevel="1"/>
    <col min="37" max="37" width="11.85546875" customWidth="1" outlineLevel="1"/>
    <col min="38" max="38" width="11.28515625" customWidth="1"/>
    <col min="39" max="39" width="10.28515625" bestFit="1" customWidth="1"/>
    <col min="40" max="40" width="11.7109375" bestFit="1" customWidth="1"/>
    <col min="41" max="41" width="14.7109375" customWidth="1"/>
    <col min="42" max="42" width="7.140625" customWidth="1"/>
    <col min="43" max="43" width="5" customWidth="1"/>
    <col min="44" max="44" width="4.85546875" customWidth="1"/>
    <col min="45" max="45" width="6.28515625" customWidth="1"/>
    <col min="46" max="46" width="15.7109375" customWidth="1"/>
    <col min="47" max="47" width="9.42578125" customWidth="1"/>
  </cols>
  <sheetData>
    <row r="1" spans="2:47" ht="49.5" customHeight="1" thickBot="1" x14ac:dyDescent="0.3">
      <c r="B1" s="90"/>
      <c r="C1" s="442" t="s">
        <v>0</v>
      </c>
      <c r="D1" s="442"/>
      <c r="E1" s="442"/>
    </row>
    <row r="2" spans="2:47" s="4" customFormat="1" ht="15" hidden="1" customHeight="1" x14ac:dyDescent="0.25">
      <c r="B2" s="529" t="s">
        <v>1</v>
      </c>
      <c r="C2" s="530"/>
      <c r="D2" s="543" t="s">
        <v>2</v>
      </c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5"/>
      <c r="Y2" s="548" t="s">
        <v>3</v>
      </c>
      <c r="Z2" s="549"/>
      <c r="AA2" s="549"/>
      <c r="AB2" s="549"/>
      <c r="AC2" s="549"/>
      <c r="AD2" s="550"/>
      <c r="AE2" s="551" t="s">
        <v>4</v>
      </c>
      <c r="AF2" s="544"/>
      <c r="AG2" s="544"/>
      <c r="AH2" s="544"/>
      <c r="AI2" s="544"/>
      <c r="AJ2" s="544"/>
      <c r="AK2" s="544"/>
      <c r="AL2" s="544"/>
      <c r="AM2" s="544"/>
      <c r="AN2" s="544"/>
      <c r="AO2" s="544"/>
      <c r="AP2" s="544"/>
      <c r="AQ2" s="544"/>
      <c r="AR2" s="544"/>
      <c r="AS2" s="544"/>
      <c r="AT2" s="552"/>
    </row>
    <row r="3" spans="2:47" s="4" customFormat="1" ht="37.5" hidden="1" customHeight="1" x14ac:dyDescent="0.25">
      <c r="B3" s="531"/>
      <c r="C3" s="532"/>
      <c r="D3" s="253" t="s">
        <v>5</v>
      </c>
      <c r="E3" s="540" t="s">
        <v>6</v>
      </c>
      <c r="F3" s="541"/>
      <c r="G3" s="542"/>
      <c r="H3" s="540" t="s">
        <v>7</v>
      </c>
      <c r="I3" s="541"/>
      <c r="J3" s="541"/>
      <c r="K3" s="541"/>
      <c r="L3" s="541"/>
      <c r="M3" s="541"/>
      <c r="N3" s="541"/>
      <c r="O3" s="541"/>
      <c r="P3" s="542"/>
      <c r="Q3" s="421"/>
      <c r="R3" s="540" t="s">
        <v>8</v>
      </c>
      <c r="S3" s="541"/>
      <c r="T3" s="541"/>
      <c r="U3" s="542"/>
      <c r="V3" s="140" t="s">
        <v>9</v>
      </c>
      <c r="W3" s="540" t="s">
        <v>10</v>
      </c>
      <c r="X3" s="541"/>
      <c r="Y3" s="542"/>
      <c r="Z3" s="32" t="s">
        <v>11</v>
      </c>
      <c r="AA3" s="540" t="s">
        <v>12</v>
      </c>
      <c r="AB3" s="541"/>
      <c r="AC3" s="542"/>
      <c r="AD3" s="535" t="s">
        <v>13</v>
      </c>
      <c r="AE3" s="537"/>
      <c r="AF3" s="176" t="s">
        <v>14</v>
      </c>
      <c r="AG3" s="183" t="s">
        <v>15</v>
      </c>
      <c r="AH3" s="511" t="s">
        <v>16</v>
      </c>
      <c r="AI3" s="512"/>
      <c r="AJ3" s="535" t="s">
        <v>17</v>
      </c>
      <c r="AK3" s="537"/>
      <c r="AL3" s="535" t="s">
        <v>18</v>
      </c>
      <c r="AM3" s="536"/>
      <c r="AN3" s="536"/>
      <c r="AO3" s="537"/>
      <c r="AP3" s="511" t="s">
        <v>19</v>
      </c>
      <c r="AQ3" s="553"/>
      <c r="AR3" s="553"/>
      <c r="AS3" s="553"/>
      <c r="AT3" s="554"/>
    </row>
    <row r="4" spans="2:47" s="4" customFormat="1" ht="15" hidden="1" customHeight="1" x14ac:dyDescent="0.25">
      <c r="B4" s="91" t="s">
        <v>20</v>
      </c>
      <c r="C4" s="236"/>
      <c r="D4" s="546" t="s">
        <v>21</v>
      </c>
      <c r="E4" s="539"/>
      <c r="F4" s="359" t="s">
        <v>22</v>
      </c>
      <c r="G4" s="538" t="s">
        <v>23</v>
      </c>
      <c r="H4" s="539"/>
      <c r="I4" s="177" t="s">
        <v>24</v>
      </c>
      <c r="J4" s="533" t="s">
        <v>25</v>
      </c>
      <c r="K4" s="534"/>
      <c r="L4" s="538" t="s">
        <v>26</v>
      </c>
      <c r="M4" s="547"/>
      <c r="N4" s="547"/>
      <c r="O4" s="539"/>
      <c r="P4" s="113" t="s">
        <v>27</v>
      </c>
      <c r="Q4" s="113" t="s">
        <v>27</v>
      </c>
      <c r="R4" s="113" t="s">
        <v>21</v>
      </c>
      <c r="S4" s="610" t="s">
        <v>28</v>
      </c>
      <c r="T4" s="611"/>
      <c r="U4" s="19" t="s">
        <v>29</v>
      </c>
      <c r="V4" s="6" t="s">
        <v>30</v>
      </c>
      <c r="W4" s="538" t="s">
        <v>31</v>
      </c>
      <c r="X4" s="539"/>
      <c r="Y4" s="20" t="s">
        <v>32</v>
      </c>
      <c r="Z4" s="17" t="s">
        <v>33</v>
      </c>
      <c r="AA4" s="579" t="s">
        <v>34</v>
      </c>
      <c r="AB4" s="580"/>
      <c r="AC4" s="581"/>
      <c r="AD4" s="17" t="s">
        <v>35</v>
      </c>
      <c r="AE4" s="5" t="s">
        <v>28</v>
      </c>
      <c r="AF4" s="5" t="s">
        <v>36</v>
      </c>
      <c r="AG4" s="5" t="s">
        <v>37</v>
      </c>
      <c r="AH4" s="570" t="s">
        <v>38</v>
      </c>
      <c r="AI4" s="571"/>
      <c r="AJ4" s="179" t="s">
        <v>39</v>
      </c>
      <c r="AK4" s="175" t="s">
        <v>40</v>
      </c>
      <c r="AL4" s="179" t="s">
        <v>39</v>
      </c>
      <c r="AM4" s="570" t="s">
        <v>41</v>
      </c>
      <c r="AN4" s="571"/>
      <c r="AO4" s="5" t="s">
        <v>38</v>
      </c>
      <c r="AP4" s="567" t="s">
        <v>39</v>
      </c>
      <c r="AQ4" s="568"/>
      <c r="AR4" s="569"/>
      <c r="AS4" s="570" t="s">
        <v>38</v>
      </c>
      <c r="AT4" s="572"/>
    </row>
    <row r="5" spans="2:47" s="4" customFormat="1" hidden="1" x14ac:dyDescent="0.25">
      <c r="B5" s="91" t="s">
        <v>42</v>
      </c>
      <c r="C5" s="236"/>
      <c r="D5" s="254" t="s">
        <v>43</v>
      </c>
      <c r="E5" s="337" t="s">
        <v>439</v>
      </c>
      <c r="F5" s="355" t="s">
        <v>44</v>
      </c>
      <c r="G5" s="170" t="s">
        <v>45</v>
      </c>
      <c r="H5" s="22" t="s">
        <v>46</v>
      </c>
      <c r="I5" s="557" t="s">
        <v>47</v>
      </c>
      <c r="J5" s="558"/>
      <c r="K5" s="555" t="s">
        <v>437</v>
      </c>
      <c r="L5" s="556"/>
      <c r="M5" s="433"/>
      <c r="N5" s="350" t="s">
        <v>49</v>
      </c>
      <c r="O5" s="351" t="s">
        <v>50</v>
      </c>
      <c r="P5" s="170" t="s">
        <v>51</v>
      </c>
      <c r="Q5" s="170" t="s">
        <v>51</v>
      </c>
      <c r="R5" s="557" t="s">
        <v>52</v>
      </c>
      <c r="S5" s="606"/>
      <c r="T5" s="558"/>
      <c r="U5" s="351" t="s">
        <v>53</v>
      </c>
      <c r="V5" s="22" t="s">
        <v>54</v>
      </c>
      <c r="W5" s="337" t="s">
        <v>424</v>
      </c>
      <c r="X5" s="337" t="s">
        <v>55</v>
      </c>
      <c r="Y5" s="161" t="s">
        <v>56</v>
      </c>
      <c r="Z5" s="16" t="s">
        <v>57</v>
      </c>
      <c r="AA5" s="342" t="s">
        <v>432</v>
      </c>
      <c r="AB5" s="342" t="s">
        <v>433</v>
      </c>
      <c r="AC5" s="337" t="s">
        <v>430</v>
      </c>
      <c r="AD5" s="459" t="s">
        <v>427</v>
      </c>
      <c r="AE5" s="461"/>
      <c r="AF5" s="355" t="s">
        <v>58</v>
      </c>
      <c r="AG5" s="7"/>
      <c r="AH5" s="559" t="s">
        <v>449</v>
      </c>
      <c r="AI5" s="560"/>
      <c r="AJ5" s="559" t="s">
        <v>59</v>
      </c>
      <c r="AK5" s="560"/>
      <c r="AL5" s="459" t="s">
        <v>60</v>
      </c>
      <c r="AM5" s="460"/>
      <c r="AN5" s="460"/>
      <c r="AO5" s="461"/>
      <c r="AP5" s="573" t="s">
        <v>61</v>
      </c>
      <c r="AQ5" s="574"/>
      <c r="AR5" s="459" t="s">
        <v>445</v>
      </c>
      <c r="AS5" s="460"/>
      <c r="AT5" s="357" t="s">
        <v>447</v>
      </c>
    </row>
    <row r="6" spans="2:47" s="11" customFormat="1" ht="15" hidden="1" customHeight="1" thickBot="1" x14ac:dyDescent="0.3">
      <c r="B6" s="92" t="s">
        <v>62</v>
      </c>
      <c r="C6" s="237"/>
      <c r="D6" s="255" t="s">
        <v>63</v>
      </c>
      <c r="E6" s="340" t="s">
        <v>440</v>
      </c>
      <c r="F6" s="360" t="s">
        <v>64</v>
      </c>
      <c r="G6" s="8" t="s">
        <v>65</v>
      </c>
      <c r="H6" s="416" t="s">
        <v>66</v>
      </c>
      <c r="I6" s="352" t="s">
        <v>67</v>
      </c>
      <c r="J6" s="352"/>
      <c r="K6" s="346" t="s">
        <v>68</v>
      </c>
      <c r="L6" s="347" t="s">
        <v>438</v>
      </c>
      <c r="M6" s="434"/>
      <c r="N6" s="353" t="s">
        <v>69</v>
      </c>
      <c r="O6" s="354" t="s">
        <v>70</v>
      </c>
      <c r="P6" s="8" t="s">
        <v>71</v>
      </c>
      <c r="Q6" s="8" t="s">
        <v>71</v>
      </c>
      <c r="R6" s="607" t="s">
        <v>72</v>
      </c>
      <c r="S6" s="608"/>
      <c r="T6" s="609"/>
      <c r="U6" s="354" t="s">
        <v>73</v>
      </c>
      <c r="V6" s="10" t="s">
        <v>74</v>
      </c>
      <c r="W6" s="338" t="s">
        <v>425</v>
      </c>
      <c r="X6" s="338" t="s">
        <v>75</v>
      </c>
      <c r="Y6" s="21" t="s">
        <v>76</v>
      </c>
      <c r="Z6" s="10" t="s">
        <v>77</v>
      </c>
      <c r="AA6" s="343"/>
      <c r="AB6" s="343" t="s">
        <v>434</v>
      </c>
      <c r="AC6" s="340" t="s">
        <v>431</v>
      </c>
      <c r="AD6" s="521" t="s">
        <v>428</v>
      </c>
      <c r="AE6" s="522"/>
      <c r="AF6" s="356" t="s">
        <v>78</v>
      </c>
      <c r="AG6" s="9"/>
      <c r="AH6" s="575" t="s">
        <v>435</v>
      </c>
      <c r="AI6" s="576"/>
      <c r="AJ6" s="563" t="s">
        <v>79</v>
      </c>
      <c r="AK6" s="564"/>
      <c r="AL6" s="527" t="s">
        <v>444</v>
      </c>
      <c r="AM6" s="528"/>
      <c r="AN6" s="528"/>
      <c r="AO6" s="522"/>
      <c r="AP6" s="525" t="s">
        <v>80</v>
      </c>
      <c r="AQ6" s="526"/>
      <c r="AR6" s="527" t="s">
        <v>446</v>
      </c>
      <c r="AS6" s="565"/>
      <c r="AT6" s="358" t="s">
        <v>81</v>
      </c>
      <c r="AU6" s="11" t="s">
        <v>64</v>
      </c>
    </row>
    <row r="7" spans="2:47" ht="37.5" hidden="1" customHeight="1" x14ac:dyDescent="0.25">
      <c r="B7" s="443" t="s">
        <v>82</v>
      </c>
      <c r="C7" s="238" t="s">
        <v>83</v>
      </c>
      <c r="D7" s="326" t="s">
        <v>84</v>
      </c>
      <c r="E7" s="159" t="s">
        <v>84</v>
      </c>
      <c r="F7" s="361" t="s">
        <v>85</v>
      </c>
      <c r="G7" s="327" t="s">
        <v>86</v>
      </c>
      <c r="H7" s="182" t="s">
        <v>84</v>
      </c>
      <c r="I7" s="182" t="s">
        <v>84</v>
      </c>
      <c r="J7" s="182" t="s">
        <v>84</v>
      </c>
      <c r="K7" s="182" t="s">
        <v>84</v>
      </c>
      <c r="L7" s="182" t="s">
        <v>84</v>
      </c>
      <c r="M7" s="182"/>
      <c r="N7" s="182" t="s">
        <v>84</v>
      </c>
      <c r="O7" s="366" t="s">
        <v>86</v>
      </c>
      <c r="P7" s="327" t="s">
        <v>86</v>
      </c>
      <c r="Q7" s="327" t="s">
        <v>86</v>
      </c>
      <c r="R7" s="614" t="s">
        <v>87</v>
      </c>
      <c r="S7" s="615"/>
      <c r="T7" s="616"/>
      <c r="U7" s="146" t="s">
        <v>84</v>
      </c>
      <c r="V7" s="3" t="s">
        <v>86</v>
      </c>
      <c r="W7" s="332" t="s">
        <v>86</v>
      </c>
      <c r="X7" s="3" t="s">
        <v>86</v>
      </c>
      <c r="Y7" s="3" t="s">
        <v>86</v>
      </c>
      <c r="Z7" s="182" t="s">
        <v>84</v>
      </c>
      <c r="AA7" s="182" t="s">
        <v>84</v>
      </c>
      <c r="AB7" s="344"/>
      <c r="AC7" s="344"/>
      <c r="AD7" s="523" t="s">
        <v>87</v>
      </c>
      <c r="AE7" s="524"/>
      <c r="AF7" s="18" t="s">
        <v>88</v>
      </c>
      <c r="AG7" s="181" t="s">
        <v>89</v>
      </c>
      <c r="AH7" s="577" t="s">
        <v>89</v>
      </c>
      <c r="AI7" s="578"/>
      <c r="AJ7" s="561" t="s">
        <v>86</v>
      </c>
      <c r="AK7" s="562"/>
      <c r="AL7" s="455" t="s">
        <v>89</v>
      </c>
      <c r="AM7" s="455"/>
      <c r="AN7" s="456"/>
      <c r="AO7" s="456"/>
      <c r="AP7" s="455" t="s">
        <v>89</v>
      </c>
      <c r="AQ7" s="456"/>
      <c r="AR7" s="561" t="s">
        <v>86</v>
      </c>
      <c r="AS7" s="566"/>
      <c r="AT7" s="93" t="s">
        <v>84</v>
      </c>
    </row>
    <row r="8" spans="2:47" ht="37.5" hidden="1" customHeight="1" x14ac:dyDescent="0.25">
      <c r="B8" s="444"/>
      <c r="C8" s="239" t="s">
        <v>90</v>
      </c>
      <c r="D8" s="327" t="s">
        <v>86</v>
      </c>
      <c r="E8" s="14" t="s">
        <v>85</v>
      </c>
      <c r="F8" s="361" t="s">
        <v>85</v>
      </c>
      <c r="G8" s="14" t="s">
        <v>85</v>
      </c>
      <c r="H8" s="14" t="s">
        <v>85</v>
      </c>
      <c r="I8" s="14" t="s">
        <v>85</v>
      </c>
      <c r="J8" s="14" t="s">
        <v>85</v>
      </c>
      <c r="K8" s="159" t="s">
        <v>84</v>
      </c>
      <c r="L8" s="159" t="s">
        <v>84</v>
      </c>
      <c r="M8" s="159"/>
      <c r="N8" s="159" t="s">
        <v>84</v>
      </c>
      <c r="O8" s="366" t="s">
        <v>86</v>
      </c>
      <c r="P8" s="164" t="s">
        <v>85</v>
      </c>
      <c r="Q8" s="164" t="s">
        <v>85</v>
      </c>
      <c r="R8" s="455" t="s">
        <v>87</v>
      </c>
      <c r="S8" s="455"/>
      <c r="T8" s="456"/>
      <c r="U8" s="165" t="s">
        <v>85</v>
      </c>
      <c r="V8" s="3" t="s">
        <v>86</v>
      </c>
      <c r="W8" s="333" t="s">
        <v>85</v>
      </c>
      <c r="X8" s="3" t="s">
        <v>86</v>
      </c>
      <c r="Y8" s="3" t="s">
        <v>86</v>
      </c>
      <c r="Z8" s="182" t="s">
        <v>84</v>
      </c>
      <c r="AA8" s="159" t="s">
        <v>84</v>
      </c>
      <c r="AB8" s="159"/>
      <c r="AC8" s="159"/>
      <c r="AD8" s="502" t="s">
        <v>87</v>
      </c>
      <c r="AE8" s="503"/>
      <c r="AF8" s="18" t="s">
        <v>88</v>
      </c>
      <c r="AG8" s="181" t="s">
        <v>89</v>
      </c>
      <c r="AH8" s="587" t="s">
        <v>89</v>
      </c>
      <c r="AI8" s="588"/>
      <c r="AJ8" s="457" t="s">
        <v>86</v>
      </c>
      <c r="AK8" s="474"/>
      <c r="AL8" s="455" t="s">
        <v>89</v>
      </c>
      <c r="AM8" s="455"/>
      <c r="AN8" s="456"/>
      <c r="AO8" s="456"/>
      <c r="AP8" s="455" t="s">
        <v>89</v>
      </c>
      <c r="AQ8" s="456"/>
      <c r="AR8" s="457" t="s">
        <v>86</v>
      </c>
      <c r="AS8" s="458"/>
      <c r="AT8" s="93" t="s">
        <v>84</v>
      </c>
    </row>
    <row r="9" spans="2:47" ht="37.5" hidden="1" customHeight="1" x14ac:dyDescent="0.25">
      <c r="B9" s="444"/>
      <c r="C9" s="240" t="s">
        <v>91</v>
      </c>
      <c r="D9" s="327" t="s">
        <v>86</v>
      </c>
      <c r="E9" s="14" t="s">
        <v>85</v>
      </c>
      <c r="F9" s="361" t="s">
        <v>85</v>
      </c>
      <c r="G9" s="14" t="s">
        <v>85</v>
      </c>
      <c r="H9" s="14" t="s">
        <v>85</v>
      </c>
      <c r="I9" s="14" t="s">
        <v>85</v>
      </c>
      <c r="J9" s="14" t="s">
        <v>85</v>
      </c>
      <c r="K9" s="159" t="s">
        <v>84</v>
      </c>
      <c r="L9" s="159" t="s">
        <v>84</v>
      </c>
      <c r="M9" s="159"/>
      <c r="N9" s="159" t="s">
        <v>84</v>
      </c>
      <c r="O9" s="366" t="s">
        <v>86</v>
      </c>
      <c r="P9" s="164" t="s">
        <v>85</v>
      </c>
      <c r="Q9" s="164" t="s">
        <v>85</v>
      </c>
      <c r="R9" s="455" t="s">
        <v>87</v>
      </c>
      <c r="S9" s="455"/>
      <c r="T9" s="456"/>
      <c r="U9" s="165" t="s">
        <v>85</v>
      </c>
      <c r="V9" s="3" t="s">
        <v>86</v>
      </c>
      <c r="W9" s="333" t="s">
        <v>85</v>
      </c>
      <c r="X9" s="3" t="s">
        <v>86</v>
      </c>
      <c r="Y9" s="3" t="s">
        <v>86</v>
      </c>
      <c r="Z9" s="182" t="s">
        <v>84</v>
      </c>
      <c r="AA9" s="159" t="s">
        <v>84</v>
      </c>
      <c r="AB9" s="159"/>
      <c r="AC9" s="159"/>
      <c r="AD9" s="502" t="s">
        <v>87</v>
      </c>
      <c r="AE9" s="503"/>
      <c r="AF9" s="18" t="s">
        <v>88</v>
      </c>
      <c r="AG9" s="181" t="s">
        <v>89</v>
      </c>
      <c r="AH9" s="587" t="s">
        <v>89</v>
      </c>
      <c r="AI9" s="588"/>
      <c r="AJ9" s="457" t="s">
        <v>86</v>
      </c>
      <c r="AK9" s="474"/>
      <c r="AL9" s="455" t="s">
        <v>89</v>
      </c>
      <c r="AM9" s="455"/>
      <c r="AN9" s="456"/>
      <c r="AO9" s="456"/>
      <c r="AP9" s="455" t="s">
        <v>89</v>
      </c>
      <c r="AQ9" s="456"/>
      <c r="AR9" s="457" t="s">
        <v>86</v>
      </c>
      <c r="AS9" s="458"/>
      <c r="AT9" s="93" t="s">
        <v>84</v>
      </c>
    </row>
    <row r="10" spans="2:47" ht="48.75" hidden="1" x14ac:dyDescent="0.25">
      <c r="B10" s="445"/>
      <c r="C10" s="239" t="s">
        <v>92</v>
      </c>
      <c r="D10" s="328" t="s">
        <v>93</v>
      </c>
      <c r="E10" s="18" t="s">
        <v>93</v>
      </c>
      <c r="F10" s="361" t="s">
        <v>85</v>
      </c>
      <c r="G10" s="18" t="s">
        <v>93</v>
      </c>
      <c r="H10" s="18" t="s">
        <v>93</v>
      </c>
      <c r="I10" s="18" t="s">
        <v>93</v>
      </c>
      <c r="J10" s="18" t="s">
        <v>93</v>
      </c>
      <c r="K10" s="18" t="s">
        <v>93</v>
      </c>
      <c r="L10" s="18" t="s">
        <v>93</v>
      </c>
      <c r="M10" s="18"/>
      <c r="N10" s="18" t="s">
        <v>93</v>
      </c>
      <c r="O10" s="366" t="s">
        <v>86</v>
      </c>
      <c r="P10" s="144" t="s">
        <v>93</v>
      </c>
      <c r="Q10" s="144" t="s">
        <v>93</v>
      </c>
      <c r="R10" s="455" t="s">
        <v>87</v>
      </c>
      <c r="S10" s="455"/>
      <c r="T10" s="456"/>
      <c r="U10" s="101" t="s">
        <v>93</v>
      </c>
      <c r="V10" s="3" t="s">
        <v>86</v>
      </c>
      <c r="W10" s="334" t="s">
        <v>426</v>
      </c>
      <c r="X10" s="158" t="s">
        <v>94</v>
      </c>
      <c r="Y10" s="158" t="s">
        <v>95</v>
      </c>
      <c r="Z10" s="14" t="s">
        <v>85</v>
      </c>
      <c r="AA10" s="159" t="s">
        <v>84</v>
      </c>
      <c r="AB10" s="159"/>
      <c r="AC10" s="159"/>
      <c r="AD10" s="502" t="s">
        <v>87</v>
      </c>
      <c r="AE10" s="503"/>
      <c r="AF10" s="18" t="s">
        <v>88</v>
      </c>
      <c r="AG10" s="181" t="s">
        <v>89</v>
      </c>
      <c r="AH10" s="587" t="s">
        <v>89</v>
      </c>
      <c r="AI10" s="588"/>
      <c r="AJ10" s="457" t="s">
        <v>86</v>
      </c>
      <c r="AK10" s="474"/>
      <c r="AL10" s="455" t="s">
        <v>89</v>
      </c>
      <c r="AM10" s="455"/>
      <c r="AN10" s="456"/>
      <c r="AO10" s="456"/>
      <c r="AP10" s="455" t="s">
        <v>89</v>
      </c>
      <c r="AQ10" s="456"/>
      <c r="AR10" s="457" t="s">
        <v>86</v>
      </c>
      <c r="AS10" s="458"/>
      <c r="AT10" s="93" t="s">
        <v>84</v>
      </c>
    </row>
    <row r="11" spans="2:47" ht="36.75" hidden="1" customHeight="1" x14ac:dyDescent="0.25">
      <c r="B11" s="94"/>
      <c r="C11" s="236" t="s">
        <v>96</v>
      </c>
      <c r="D11" s="258"/>
      <c r="E11" s="330"/>
      <c r="F11" s="362" t="s">
        <v>97</v>
      </c>
      <c r="G11" s="363" t="s">
        <v>448</v>
      </c>
      <c r="H11" s="364"/>
      <c r="I11" s="364"/>
      <c r="J11" s="364"/>
      <c r="K11" s="364"/>
      <c r="L11" s="364"/>
      <c r="M11" s="364"/>
      <c r="N11" s="365"/>
      <c r="O11" s="367" t="s">
        <v>98</v>
      </c>
      <c r="P11" s="58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88"/>
      <c r="AF11" s="174" t="s">
        <v>99</v>
      </c>
      <c r="AG11" s="587"/>
      <c r="AH11" s="517"/>
      <c r="AI11" s="588"/>
      <c r="AJ11" s="602" t="s">
        <v>100</v>
      </c>
      <c r="AK11" s="603"/>
      <c r="AL11" s="517"/>
      <c r="AM11" s="517"/>
      <c r="AN11" s="517"/>
      <c r="AO11" s="517"/>
      <c r="AP11" s="517"/>
      <c r="AQ11" s="517"/>
      <c r="AR11" s="584" t="s">
        <v>101</v>
      </c>
      <c r="AS11" s="585"/>
      <c r="AT11" s="95"/>
    </row>
    <row r="12" spans="2:47" hidden="1" x14ac:dyDescent="0.25">
      <c r="B12" s="91" t="s">
        <v>102</v>
      </c>
      <c r="C12" s="236"/>
      <c r="D12" s="259">
        <v>50000</v>
      </c>
      <c r="E12" s="39">
        <v>50000</v>
      </c>
      <c r="F12" s="39">
        <v>20000</v>
      </c>
      <c r="G12" s="39">
        <v>20000</v>
      </c>
      <c r="H12" s="39">
        <v>20000</v>
      </c>
      <c r="I12" s="39">
        <v>5000</v>
      </c>
      <c r="J12" s="39">
        <v>200000</v>
      </c>
      <c r="K12" s="39">
        <v>200000</v>
      </c>
      <c r="L12" s="39">
        <v>50000</v>
      </c>
      <c r="M12" s="39"/>
      <c r="N12" s="39">
        <v>50000</v>
      </c>
      <c r="O12" s="39"/>
      <c r="P12" s="171">
        <v>5000</v>
      </c>
      <c r="Q12" s="171">
        <v>5000</v>
      </c>
      <c r="R12" s="514">
        <v>200000</v>
      </c>
      <c r="S12" s="515"/>
      <c r="T12" s="516"/>
      <c r="U12" s="172">
        <v>5000</v>
      </c>
      <c r="V12" s="39"/>
      <c r="W12" s="39">
        <v>5000</v>
      </c>
      <c r="X12" s="39">
        <v>5000</v>
      </c>
      <c r="Y12" s="39">
        <v>5000</v>
      </c>
      <c r="Z12" s="39">
        <v>50000</v>
      </c>
      <c r="AA12" s="39">
        <v>50000</v>
      </c>
      <c r="AB12" s="171"/>
      <c r="AC12" s="171"/>
      <c r="AD12" s="514">
        <v>200000</v>
      </c>
      <c r="AE12" s="516"/>
      <c r="AF12" s="39">
        <v>200000</v>
      </c>
      <c r="AG12" s="39">
        <v>200000</v>
      </c>
      <c r="AH12" s="514">
        <v>200000</v>
      </c>
      <c r="AI12" s="516"/>
      <c r="AJ12" s="518"/>
      <c r="AK12" s="519"/>
      <c r="AL12" s="514">
        <v>200000</v>
      </c>
      <c r="AM12" s="515"/>
      <c r="AN12" s="515"/>
      <c r="AO12" s="516"/>
      <c r="AP12" s="514">
        <v>200000</v>
      </c>
      <c r="AQ12" s="515"/>
      <c r="AR12" s="515"/>
      <c r="AS12" s="515"/>
      <c r="AT12" s="583"/>
    </row>
    <row r="13" spans="2:47" s="13" customFormat="1" hidden="1" x14ac:dyDescent="0.25">
      <c r="B13" s="94" t="s">
        <v>103</v>
      </c>
      <c r="C13" s="241"/>
      <c r="D13" s="25">
        <f t="shared" ref="D13:L13" si="0">SQRT((D12/$E$98)/(PI()/4))</f>
        <v>40.656407246787708</v>
      </c>
      <c r="E13" s="25">
        <f t="shared" si="0"/>
        <v>40.656407246787708</v>
      </c>
      <c r="F13" s="25">
        <f t="shared" si="0"/>
        <v>25.713369675844916</v>
      </c>
      <c r="G13" s="25">
        <f t="shared" si="0"/>
        <v>25.713369675844916</v>
      </c>
      <c r="H13" s="25">
        <f t="shared" si="0"/>
        <v>25.713369675844916</v>
      </c>
      <c r="I13" s="25">
        <f t="shared" si="0"/>
        <v>12.856684837922458</v>
      </c>
      <c r="J13" s="25">
        <f t="shared" si="0"/>
        <v>81.312814493575416</v>
      </c>
      <c r="K13" s="25">
        <f t="shared" si="0"/>
        <v>81.312814493575416</v>
      </c>
      <c r="L13" s="25">
        <f t="shared" si="0"/>
        <v>40.656407246787708</v>
      </c>
      <c r="M13" s="25"/>
      <c r="N13" s="25">
        <f>SQRT((N12/$E$98)/(PI()/4))</f>
        <v>40.656407246787708</v>
      </c>
      <c r="O13" s="25">
        <f>SQRT((O12/$E$98)/(PI()/4))</f>
        <v>0</v>
      </c>
      <c r="P13" s="25">
        <f>SQRT((P12/$E$98)/(PI()/4))</f>
        <v>12.856684837922458</v>
      </c>
      <c r="Q13" s="25">
        <f>SQRT((Q12/$E$98)/(PI()/4))</f>
        <v>12.856684837922458</v>
      </c>
      <c r="R13" s="504">
        <v>40.656407246787708</v>
      </c>
      <c r="S13" s="513"/>
      <c r="T13" s="505"/>
      <c r="U13" s="25">
        <f>SQRT((U12/$E$98)/(PI()/4))</f>
        <v>12.856684837922458</v>
      </c>
      <c r="V13" s="25">
        <f>SQRT((V12/E$98)/(PI()/4))</f>
        <v>0</v>
      </c>
      <c r="W13" s="25">
        <f>SQRT((W12/$E$98)/(PI()/4))</f>
        <v>12.856684837922458</v>
      </c>
      <c r="X13" s="25">
        <f>SQRT((X12/$E$98)/(PI()/4))</f>
        <v>12.856684837922458</v>
      </c>
      <c r="Y13" s="25">
        <f>SQRT((Y12/$E$98)/(PI()/4))</f>
        <v>12.856684837922458</v>
      </c>
      <c r="Z13" s="25">
        <f>SQRT((Z12/E$98)/(PI()/4))</f>
        <v>40.656407246787708</v>
      </c>
      <c r="AA13" s="25">
        <f>SQRT((AA12/$E$98)/(PI()/4))</f>
        <v>40.656407246787708</v>
      </c>
      <c r="AB13" s="329"/>
      <c r="AC13" s="329"/>
      <c r="AD13" s="504">
        <v>40.656407246787708</v>
      </c>
      <c r="AE13" s="505"/>
      <c r="AF13" s="25">
        <f>SQRT((AF12/$E$98)/(PI()/4))</f>
        <v>81.312814493575416</v>
      </c>
      <c r="AG13" s="25">
        <f>SQRT((AG12/$E$98)/(PI()/4))</f>
        <v>81.312814493575416</v>
      </c>
      <c r="AH13" s="504">
        <f>SQRT((AH12/E$98)/(PI()/4))</f>
        <v>81.312814493575416</v>
      </c>
      <c r="AI13" s="505"/>
      <c r="AJ13" s="475"/>
      <c r="AK13" s="476"/>
      <c r="AL13" s="504">
        <v>40.656407246787708</v>
      </c>
      <c r="AM13" s="513"/>
      <c r="AN13" s="513"/>
      <c r="AO13" s="505"/>
      <c r="AP13" s="504">
        <v>40.656407246787708</v>
      </c>
      <c r="AQ13" s="513"/>
      <c r="AR13" s="513"/>
      <c r="AS13" s="513"/>
      <c r="AT13" s="520"/>
    </row>
    <row r="14" spans="2:47" s="13" customFormat="1" hidden="1" x14ac:dyDescent="0.25">
      <c r="B14" s="96" t="s">
        <v>104</v>
      </c>
      <c r="C14" s="242"/>
      <c r="D14" s="260" t="s">
        <v>105</v>
      </c>
      <c r="E14" s="12" t="s">
        <v>106</v>
      </c>
      <c r="F14" s="12" t="s">
        <v>107</v>
      </c>
      <c r="G14" s="12" t="s">
        <v>108</v>
      </c>
      <c r="H14" s="12" t="s">
        <v>105</v>
      </c>
      <c r="I14" s="12" t="s">
        <v>107</v>
      </c>
      <c r="J14" s="12">
        <v>8</v>
      </c>
      <c r="K14" s="345" t="s">
        <v>108</v>
      </c>
      <c r="L14" s="12" t="s">
        <v>106</v>
      </c>
      <c r="M14" s="12"/>
      <c r="N14" s="12" t="s">
        <v>109</v>
      </c>
      <c r="O14" s="12" t="s">
        <v>107</v>
      </c>
      <c r="P14" s="168" t="s">
        <v>110</v>
      </c>
      <c r="Q14" s="168" t="s">
        <v>110</v>
      </c>
      <c r="R14" s="475" t="s">
        <v>111</v>
      </c>
      <c r="S14" s="482"/>
      <c r="T14" s="476"/>
      <c r="U14" s="169" t="s">
        <v>112</v>
      </c>
      <c r="V14" s="12" t="s">
        <v>113</v>
      </c>
      <c r="W14" s="12" t="s">
        <v>113</v>
      </c>
      <c r="X14" s="12" t="s">
        <v>114</v>
      </c>
      <c r="Y14" s="339" t="s">
        <v>111</v>
      </c>
      <c r="Z14" s="12" t="s">
        <v>106</v>
      </c>
      <c r="AA14" s="12">
        <v>9</v>
      </c>
      <c r="AB14" s="168"/>
      <c r="AC14" s="168"/>
      <c r="AD14" s="475">
        <v>9</v>
      </c>
      <c r="AE14" s="476"/>
      <c r="AF14" s="12" t="s">
        <v>106</v>
      </c>
      <c r="AG14" s="12" t="s">
        <v>113</v>
      </c>
      <c r="AH14" s="612" t="s">
        <v>436</v>
      </c>
      <c r="AI14" s="613"/>
      <c r="AJ14" s="475" t="s">
        <v>111</v>
      </c>
      <c r="AK14" s="476"/>
      <c r="AL14" s="475" t="s">
        <v>116</v>
      </c>
      <c r="AM14" s="482"/>
      <c r="AN14" s="482"/>
      <c r="AO14" s="476"/>
      <c r="AP14" s="475" t="s">
        <v>115</v>
      </c>
      <c r="AQ14" s="482"/>
      <c r="AR14" s="475" t="s">
        <v>116</v>
      </c>
      <c r="AS14" s="482"/>
      <c r="AT14" s="97" t="s">
        <v>107</v>
      </c>
    </row>
    <row r="15" spans="2:47" s="13" customFormat="1" ht="28.5" hidden="1" x14ac:dyDescent="0.25">
      <c r="B15" s="508" t="s">
        <v>117</v>
      </c>
      <c r="C15" s="243" t="s">
        <v>118</v>
      </c>
      <c r="D15" s="261" t="s">
        <v>119</v>
      </c>
      <c r="E15" s="331" t="s">
        <v>119</v>
      </c>
      <c r="F15" s="141" t="s">
        <v>120</v>
      </c>
      <c r="G15" s="141" t="s">
        <v>120</v>
      </c>
      <c r="H15" s="141" t="s">
        <v>120</v>
      </c>
      <c r="I15" s="142" t="s">
        <v>120</v>
      </c>
      <c r="J15" s="141" t="s">
        <v>120</v>
      </c>
      <c r="K15" s="141" t="s">
        <v>120</v>
      </c>
      <c r="L15" s="142" t="s">
        <v>120</v>
      </c>
      <c r="M15" s="142"/>
      <c r="N15" s="142" t="s">
        <v>120</v>
      </c>
      <c r="O15" s="141" t="s">
        <v>120</v>
      </c>
      <c r="P15" s="145" t="s">
        <v>120</v>
      </c>
      <c r="Q15" s="145" t="s">
        <v>120</v>
      </c>
      <c r="R15" s="617" t="s">
        <v>119</v>
      </c>
      <c r="S15" s="618"/>
      <c r="T15" s="619"/>
      <c r="U15" s="142" t="s">
        <v>120</v>
      </c>
      <c r="V15" s="141" t="s">
        <v>120</v>
      </c>
      <c r="W15" s="141" t="s">
        <v>120</v>
      </c>
      <c r="X15" s="141" t="s">
        <v>120</v>
      </c>
      <c r="Y15" s="142" t="s">
        <v>120</v>
      </c>
      <c r="Z15" s="141" t="s">
        <v>120</v>
      </c>
      <c r="AA15" s="141" t="s">
        <v>120</v>
      </c>
      <c r="AB15" s="145"/>
      <c r="AC15" s="145"/>
      <c r="AD15" s="489" t="s">
        <v>121</v>
      </c>
      <c r="AE15" s="492"/>
      <c r="AF15" s="143" t="s">
        <v>121</v>
      </c>
      <c r="AG15" s="143" t="s">
        <v>121</v>
      </c>
      <c r="AH15" s="489" t="s">
        <v>121</v>
      </c>
      <c r="AI15" s="492"/>
      <c r="AJ15" s="489" t="s">
        <v>121</v>
      </c>
      <c r="AK15" s="492"/>
      <c r="AL15" s="489" t="s">
        <v>121</v>
      </c>
      <c r="AM15" s="490"/>
      <c r="AN15" s="490"/>
      <c r="AO15" s="492"/>
      <c r="AP15" s="489" t="s">
        <v>121</v>
      </c>
      <c r="AQ15" s="490"/>
      <c r="AR15" s="490"/>
      <c r="AS15" s="490"/>
      <c r="AT15" s="491"/>
    </row>
    <row r="16" spans="2:47" s="197" customFormat="1" hidden="1" x14ac:dyDescent="0.25">
      <c r="B16" s="509"/>
      <c r="C16" s="244" t="s">
        <v>122</v>
      </c>
      <c r="D16" s="262">
        <f>D19-D17</f>
        <v>-20.015868409752017</v>
      </c>
      <c r="E16" s="232">
        <f t="shared" ref="E16:P16" si="1">E19-E17</f>
        <v>-52.465868409752019</v>
      </c>
      <c r="F16" s="233">
        <f>F20-F17</f>
        <v>136.52344337697912</v>
      </c>
      <c r="G16" s="232">
        <f t="shared" si="1"/>
        <v>135.38647068673225</v>
      </c>
      <c r="H16" s="233">
        <f t="shared" si="1"/>
        <v>32.06441989433479</v>
      </c>
      <c r="I16" s="232">
        <f t="shared" si="1"/>
        <v>-17.242413754648997</v>
      </c>
      <c r="J16" s="232">
        <f t="shared" si="1"/>
        <v>-22.659689574949091</v>
      </c>
      <c r="K16" s="232">
        <f t="shared" si="1"/>
        <v>-22.659689574949091</v>
      </c>
      <c r="L16" s="232">
        <f t="shared" si="1"/>
        <v>119.99775739342462</v>
      </c>
      <c r="M16" s="232"/>
      <c r="N16" s="232">
        <f t="shared" si="1"/>
        <v>119.99775739342462</v>
      </c>
      <c r="O16" s="232">
        <f t="shared" si="1"/>
        <v>123.21510218089918</v>
      </c>
      <c r="P16" s="232">
        <f t="shared" si="1"/>
        <v>-17.242413754648997</v>
      </c>
      <c r="Q16" s="232" t="e">
        <f>Q19-Q17</f>
        <v>#DIV/0!</v>
      </c>
      <c r="R16" s="493">
        <f>SUM(R19,S19,T19)-R17</f>
        <v>169.57283079024799</v>
      </c>
      <c r="S16" s="494"/>
      <c r="T16" s="589"/>
      <c r="U16" s="231">
        <f>U19-U17</f>
        <v>45.666586245351006</v>
      </c>
      <c r="V16" s="233"/>
      <c r="W16" s="233">
        <f>W19-W17</f>
        <v>107.67823841926405</v>
      </c>
      <c r="X16" s="233">
        <f>X19-X17</f>
        <v>107.67823841926405</v>
      </c>
      <c r="Y16" s="231">
        <f>Y19-Y17</f>
        <v>-4.2624137546489944</v>
      </c>
      <c r="Z16" s="233"/>
      <c r="AA16" s="233">
        <f>AA19-AA17</f>
        <v>-53.6674419550179</v>
      </c>
      <c r="AB16" s="234"/>
      <c r="AC16" s="234"/>
      <c r="AD16" s="493">
        <f>SUM(AD19:AE19)-AD17</f>
        <v>201.31852921252548</v>
      </c>
      <c r="AE16" s="589"/>
      <c r="AF16" s="232">
        <f>AF19-AF17</f>
        <v>147.71757980308047</v>
      </c>
      <c r="AG16" s="232">
        <f>AG19-AG17</f>
        <v>144.64553216809435</v>
      </c>
      <c r="AH16" s="493">
        <f>AH19+AI19-AH17</f>
        <v>693.40133174558707</v>
      </c>
      <c r="AI16" s="589"/>
      <c r="AJ16" s="234"/>
      <c r="AK16" s="231"/>
      <c r="AL16" s="493">
        <f>SUM(AL19:AO19)-AL17</f>
        <v>521.04999638193954</v>
      </c>
      <c r="AM16" s="494"/>
      <c r="AN16" s="494"/>
      <c r="AO16" s="589"/>
      <c r="AP16" s="493">
        <f>SUM(AP19:AT19)-AP17</f>
        <v>752.69826334927905</v>
      </c>
      <c r="AQ16" s="494"/>
      <c r="AR16" s="494"/>
      <c r="AS16" s="494"/>
      <c r="AT16" s="495"/>
    </row>
    <row r="17" spans="2:46" hidden="1" outlineLevel="1" x14ac:dyDescent="0.25">
      <c r="B17" s="509"/>
      <c r="C17" s="245" t="s">
        <v>123</v>
      </c>
      <c r="D17" s="263">
        <f>(E$113*D13)/E114*E$112+(E124*C202)</f>
        <v>35.667344787474548</v>
      </c>
      <c r="E17" s="348">
        <f>(E$113*E13)/E114*E$112+(E124*C204)</f>
        <v>68.117344787474551</v>
      </c>
      <c r="F17" s="201">
        <f>(E$113*F13)/E114*E$112+(E124*C204)</f>
        <v>66.934827509297989</v>
      </c>
      <c r="G17" s="201">
        <f>(E$113*G13)/E114*E$112+(E124*C204)</f>
        <v>66.934827509297989</v>
      </c>
      <c r="H17" s="201">
        <f>(E$113*H13)/E114*E$112+(E124*C203)</f>
        <v>18.259827509297988</v>
      </c>
      <c r="I17" s="200">
        <f>(E$113*I13)/E114*E$112+(E124*C203)</f>
        <v>17.242413754648997</v>
      </c>
      <c r="J17" s="209">
        <f>(E$113*J13)/E114*E$112+(E124*C203)</f>
        <v>22.659689574949091</v>
      </c>
      <c r="K17" s="201">
        <f>(E$113*K13)/E114*E$112+(E124*C203)</f>
        <v>22.659689574949091</v>
      </c>
      <c r="L17" s="200">
        <f>(E$113*L13)/E114*E$112+(E124*C203)</f>
        <v>19.442344787474546</v>
      </c>
      <c r="M17" s="200"/>
      <c r="N17" s="200">
        <f>(E$113*N13)/E114*E$112+(E124*C203)</f>
        <v>19.442344787474546</v>
      </c>
      <c r="O17" s="201">
        <f>(E$113*O13)/E114*E$112+(E124*C203)</f>
        <v>16.225000000000001</v>
      </c>
      <c r="P17" s="208">
        <f>(E$113*P13)/E114*E$112+(E124*C203)</f>
        <v>17.242413754648997</v>
      </c>
      <c r="Q17" s="208" t="e">
        <f>(F$113*Q13)/F114*F$112+(F124*D203)</f>
        <v>#DIV/0!</v>
      </c>
      <c r="R17" s="479">
        <f>(E$113*R13)/E114*E$112+(E124*C202)*0.2+(E116*D216+E117*D215)*0.8</f>
        <v>63.971344787474557</v>
      </c>
      <c r="S17" s="480"/>
      <c r="T17" s="481"/>
      <c r="U17" s="200">
        <f>(E$113*U13)/E114*E$112+(E124*C202)</f>
        <v>33.467413754648994</v>
      </c>
      <c r="V17" s="198" t="e">
        <f>(E$113*V13+#REF!*V13)*E$112+(E124*C202)</f>
        <v>#REF!</v>
      </c>
      <c r="W17" s="201">
        <f>(E$113*W13)/E114*E$112</f>
        <v>1.0174137546489936</v>
      </c>
      <c r="X17" s="201">
        <f>(E$113*X13)/E114*E$112</f>
        <v>1.0174137546489936</v>
      </c>
      <c r="Y17" s="200">
        <f>(E$113*Y13)/E114*E$112+(E124*C202*0.1)</f>
        <v>4.2624137546489944</v>
      </c>
      <c r="Z17" s="198" t="e">
        <f>(E$113*Z13+#REF!*Z13)*E$112</f>
        <v>#REF!</v>
      </c>
      <c r="AA17" s="201">
        <f>(E$113*AA13)*E$112/E114+E122</f>
        <v>55.717344787474545</v>
      </c>
      <c r="AB17" s="208"/>
      <c r="AC17" s="208"/>
      <c r="AD17" s="479">
        <f>(E$113*AD13)*E$112/E114+E116*D216+E117*D215</f>
        <v>71.047344787474543</v>
      </c>
      <c r="AE17" s="481"/>
      <c r="AF17" s="201">
        <f>(E$113*AF13)*E$112/E114+E121*D219</f>
        <v>319.70002841826329</v>
      </c>
      <c r="AG17" s="201">
        <f>(E$113*AG13)*E$112/E114+E117*D221</f>
        <v>350.73783848799258</v>
      </c>
      <c r="AH17" s="479">
        <f>(E$113*AH13)*E$112/E114+E116*D224+E117*D223</f>
        <v>238.52051587929691</v>
      </c>
      <c r="AI17" s="481"/>
      <c r="AJ17" s="477" t="e">
        <f>(E$113*AJ13+#REF!*AJ13)*E$112</f>
        <v>#REF!</v>
      </c>
      <c r="AK17" s="478"/>
      <c r="AL17" s="479">
        <f>(E$113*AL13)*E$112/E114+E116*D228+E117*D227+E118*D230+E119*D226</f>
        <v>626.83672401019817</v>
      </c>
      <c r="AM17" s="480"/>
      <c r="AN17" s="480"/>
      <c r="AO17" s="481"/>
      <c r="AP17" s="479">
        <f>(E$113*AP13)*E$112/E114+E116*D233+E117*D232+E118*(D235)</f>
        <v>369.19884011356146</v>
      </c>
      <c r="AQ17" s="480"/>
      <c r="AR17" s="480"/>
      <c r="AS17" s="480"/>
      <c r="AT17" s="582"/>
    </row>
    <row r="18" spans="2:46" hidden="1" outlineLevel="1" x14ac:dyDescent="0.25">
      <c r="B18" s="509"/>
      <c r="C18" s="219" t="s">
        <v>124</v>
      </c>
      <c r="D18" s="264" t="s">
        <v>125</v>
      </c>
      <c r="E18" s="349" t="s">
        <v>125</v>
      </c>
      <c r="F18" s="210" t="s">
        <v>126</v>
      </c>
      <c r="G18" s="210" t="s">
        <v>126</v>
      </c>
      <c r="H18" s="210" t="s">
        <v>127</v>
      </c>
      <c r="I18" s="235"/>
      <c r="J18" s="210" t="s">
        <v>128</v>
      </c>
      <c r="K18" s="210" t="s">
        <v>128</v>
      </c>
      <c r="L18" s="210" t="s">
        <v>129</v>
      </c>
      <c r="M18" s="210"/>
      <c r="N18" s="210" t="s">
        <v>129</v>
      </c>
      <c r="O18" s="210" t="s">
        <v>129</v>
      </c>
      <c r="P18" s="235"/>
      <c r="Q18" s="235"/>
      <c r="R18" s="210" t="s">
        <v>125</v>
      </c>
      <c r="S18" s="210" t="s">
        <v>130</v>
      </c>
      <c r="T18" s="210" t="s">
        <v>131</v>
      </c>
      <c r="U18" s="210" t="s">
        <v>132</v>
      </c>
      <c r="V18" s="188"/>
      <c r="W18" s="335" t="s">
        <v>133</v>
      </c>
      <c r="X18" s="335" t="s">
        <v>133</v>
      </c>
      <c r="Y18" s="335" t="s">
        <v>134</v>
      </c>
      <c r="Z18" s="188"/>
      <c r="AA18" s="210" t="s">
        <v>135</v>
      </c>
      <c r="AB18" s="214"/>
      <c r="AC18" s="214"/>
      <c r="AD18" s="214" t="s">
        <v>130</v>
      </c>
      <c r="AE18" s="189" t="s">
        <v>131</v>
      </c>
      <c r="AF18" s="210" t="s">
        <v>136</v>
      </c>
      <c r="AG18" s="210" t="s">
        <v>131</v>
      </c>
      <c r="AH18" s="214" t="s">
        <v>130</v>
      </c>
      <c r="AI18" s="210" t="s">
        <v>131</v>
      </c>
      <c r="AJ18" s="188"/>
      <c r="AK18" s="188"/>
      <c r="AL18" s="212" t="s">
        <v>137</v>
      </c>
      <c r="AM18" s="212" t="s">
        <v>138</v>
      </c>
      <c r="AN18" s="212" t="s">
        <v>130</v>
      </c>
      <c r="AO18" s="212" t="s">
        <v>131</v>
      </c>
      <c r="AP18" s="484" t="s">
        <v>139</v>
      </c>
      <c r="AQ18" s="485"/>
      <c r="AR18" s="484" t="s">
        <v>130</v>
      </c>
      <c r="AS18" s="485"/>
      <c r="AT18" s="265" t="s">
        <v>131</v>
      </c>
    </row>
    <row r="19" spans="2:46" hidden="1" outlineLevel="1" x14ac:dyDescent="0.25">
      <c r="B19" s="510"/>
      <c r="C19" s="220" t="s">
        <v>123</v>
      </c>
      <c r="D19" s="266">
        <f>$E$137*'Data - samenstelling'!$K$22*'Data - samenstelling'!$H$22*'Data - samenstelling'!$T$22/0.5</f>
        <v>15.651476377722531</v>
      </c>
      <c r="E19" s="230">
        <f>E137*'Data - samenstelling'!K22*'Data - samenstelling'!H22*'Data - samenstelling'!T22/0.5</f>
        <v>15.651476377722531</v>
      </c>
      <c r="F19" s="211">
        <f>E132*'Data - samenstelling'!K22*'Data - samenstelling'!H22*'Data - samenstelling'!Z22</f>
        <v>202.32129819603026</v>
      </c>
      <c r="G19" s="211">
        <f>E132*'Data - samenstelling'!K22*'Data - samenstelling'!H22*'Data - samenstelling'!Z22</f>
        <v>202.32129819603026</v>
      </c>
      <c r="H19" s="211">
        <f>(E133*'Data - samenstelling'!K22*'Data - samenstelling'!H22*'Data - samenstelling'!S22)</f>
        <v>50.324247403632775</v>
      </c>
      <c r="I19" s="228"/>
      <c r="J19" s="228"/>
      <c r="K19" s="228"/>
      <c r="L19" s="211">
        <f>E136*'Data - samenstelling'!K22*'Data - samenstelling'!H22*'Data - samenstelling'!S22</f>
        <v>139.44010218089917</v>
      </c>
      <c r="M19" s="211"/>
      <c r="N19" s="211">
        <f>E136*'Data - samenstelling'!K22*'Data - samenstelling'!H22*'Data - samenstelling'!S22</f>
        <v>139.44010218089917</v>
      </c>
      <c r="O19" s="211">
        <f>E136*'Data - samenstelling'!K22*'Data - samenstelling'!H22*'Data - samenstelling'!S22</f>
        <v>139.44010218089917</v>
      </c>
      <c r="P19" s="228"/>
      <c r="Q19" s="228"/>
      <c r="R19" s="292">
        <f>$E$137*'Data - samenstelling'!$K$22*'Data - samenstelling'!$H$22*'Data - samenstelling'!$T$22/0.5</f>
        <v>15.651476377722531</v>
      </c>
      <c r="S19" s="211">
        <f>D216*0.8*E125</f>
        <v>167.70160000000001</v>
      </c>
      <c r="T19" s="211">
        <f>D215*0.8*E123</f>
        <v>50.191099200000004</v>
      </c>
      <c r="U19" s="230">
        <f>E138</f>
        <v>79.134</v>
      </c>
      <c r="V19" s="199"/>
      <c r="W19" s="198">
        <f>E134</f>
        <v>108.69565217391305</v>
      </c>
      <c r="X19" s="198">
        <f>E134</f>
        <v>108.69565217391305</v>
      </c>
      <c r="Y19" s="336">
        <v>0</v>
      </c>
      <c r="Z19" s="199"/>
      <c r="AA19" s="230">
        <f>E135*'Data - samenstelling'!K22*'Data - samenstelling'!H22*'Data - samenstelling'!U22</f>
        <v>2.0499028324566448</v>
      </c>
      <c r="AB19" s="341"/>
      <c r="AC19" s="341"/>
      <c r="AD19" s="202">
        <f>E125*D216</f>
        <v>209.62700000000001</v>
      </c>
      <c r="AE19" s="215">
        <f>E123*D215</f>
        <v>62.738874000000003</v>
      </c>
      <c r="AF19" s="211">
        <f>E131*D219</f>
        <v>467.41760822134376</v>
      </c>
      <c r="AG19" s="211">
        <f>E123*D221</f>
        <v>495.38337065608692</v>
      </c>
      <c r="AH19" s="202">
        <f>E125*D224</f>
        <v>717.25572034057961</v>
      </c>
      <c r="AI19" s="211">
        <f>E123*D223</f>
        <v>214.66612728430434</v>
      </c>
      <c r="AJ19" s="188"/>
      <c r="AK19" s="188"/>
      <c r="AL19" s="211">
        <f>E127*D229</f>
        <v>119.30741708260871</v>
      </c>
      <c r="AM19" s="211">
        <f>E129*D226</f>
        <v>670.14782345380434</v>
      </c>
      <c r="AN19" s="211">
        <f>E125*D229</f>
        <v>275.86758474637679</v>
      </c>
      <c r="AO19" s="213">
        <f>E123*D227</f>
        <v>82.563895109347811</v>
      </c>
      <c r="AP19" s="594">
        <f>E127*D234</f>
        <v>835.15191957826073</v>
      </c>
      <c r="AQ19" s="595"/>
      <c r="AR19" s="594">
        <f>E125*D233</f>
        <v>220.69406779710147</v>
      </c>
      <c r="AS19" s="595"/>
      <c r="AT19" s="267">
        <f>E123*D232</f>
        <v>66.051116087478249</v>
      </c>
    </row>
    <row r="20" spans="2:46" hidden="1" collapsed="1" x14ac:dyDescent="0.25">
      <c r="B20" s="99" t="s">
        <v>140</v>
      </c>
      <c r="C20" s="246"/>
      <c r="D20" s="268">
        <f>(D183*'Data - samenstelling'!K22*'Data - samenstelling'!H22*'Data - samenstelling'!T22)+(D185*'Data - samenstelling'!K22*'Data - samenstelling'!H22*'Data - samenstelling'!S22)</f>
        <v>39.992182162817457</v>
      </c>
      <c r="E20" s="216">
        <f>D188*'Data - samenstelling'!K22*'Data - samenstelling'!H22*'Data - samenstelling'!Z22</f>
        <v>203.45827088627712</v>
      </c>
      <c r="F20" s="216">
        <f>D188*'Data - samenstelling'!K22*'Data - samenstelling'!H22*'Data - samenstelling'!Z22</f>
        <v>203.45827088627712</v>
      </c>
      <c r="G20" s="216">
        <f>D188*'Data - samenstelling'!K22*'Data - samenstelling'!H22*'Data - samenstelling'!Z22</f>
        <v>203.45827088627712</v>
      </c>
      <c r="H20" s="216">
        <f>(D184*'Data - samenstelling'!K22*'Data - samenstelling'!H22*'Data - samenstelling'!S22)+(D186*'Data - samenstelling'!K22*'Data - samenstelling'!H22*'Data - samenstelling'!R22)</f>
        <v>95.129874274965076</v>
      </c>
      <c r="I20" s="216">
        <f>(D184*'Data - samenstelling'!K22*'Data - samenstelling'!H22*'Data - samenstelling'!S22)+(D186*'Data - samenstelling'!K22*'Data - samenstelling'!H22*'Data - samenstelling'!R22)</f>
        <v>95.129874274965076</v>
      </c>
      <c r="J20" s="218">
        <f>(D184*'Data - samenstelling'!K22*'Data - samenstelling'!H22*'Data - samenstelling'!S22)+(D186*'Data - samenstelling'!K22*'Data - samenstelling'!H22*'Data - samenstelling'!R22)</f>
        <v>95.129874274965076</v>
      </c>
      <c r="K20" s="216">
        <f>(D184*'Data - samenstelling'!K22*'Data - samenstelling'!H22*'Data - samenstelling'!S22)+(D186*'Data - samenstelling'!K22*'Data - samenstelling'!H22*'Data - samenstelling'!R22)</f>
        <v>95.129874274965076</v>
      </c>
      <c r="L20" s="216">
        <f>(D184*'Data - samenstelling'!K22*'Data - samenstelling'!H22*'Data - samenstelling'!S22)+(D186*'Data - samenstelling'!K22*'Data - samenstelling'!H22*'Data - samenstelling'!R22)</f>
        <v>95.129874274965076</v>
      </c>
      <c r="M20" s="216"/>
      <c r="N20" s="216">
        <f>(D184*'Data - samenstelling'!K22*'Data - samenstelling'!H22*'Data - samenstelling'!S22)+(D186*'Data - samenstelling'!K22*'Data - samenstelling'!H22*'Data - samenstelling'!R22)</f>
        <v>95.129874274965076</v>
      </c>
      <c r="O20" s="216">
        <f>(D184*'Data - samenstelling'!K22*'Data - samenstelling'!H22*'Data - samenstelling'!S22)+(D186*'Data - samenstelling'!K22*'Data - samenstelling'!H22*'Data - samenstelling'!R22)</f>
        <v>95.129874274965076</v>
      </c>
      <c r="P20" s="217">
        <f>(D184*'Data - samenstelling'!K22*'Data - samenstelling'!H22*'Data - samenstelling'!S22)+(D186*'Data - samenstelling'!K22*'Data - samenstelling'!H22*'Data - samenstelling'!R22)</f>
        <v>95.129874274965076</v>
      </c>
      <c r="Q20" s="217">
        <f>(E184*'Data - samenstelling'!L22*'Data - samenstelling'!I22*'Data - samenstelling'!T22)+(E186*'Data - samenstelling'!L22*'Data - samenstelling'!I22*'Data - samenstelling'!S22)</f>
        <v>0</v>
      </c>
      <c r="R20" s="446">
        <f>((D215*D191)+(D216*D192))*0.5+((D183*(1-'Data - samenstelling'!C22)*'Data - samenstelling'!H22*'Data - samenstelling'!T22))*0.5</f>
        <v>18.237627424591107</v>
      </c>
      <c r="S20" s="447"/>
      <c r="T20" s="448"/>
      <c r="U20" s="216">
        <f>D189*(1-'Data - samenstelling'!C22)*'Data - samenstelling'!H22*'Data - samenstelling'!V22+(D185*'Data - samenstelling'!K22*'Data - samenstelling'!H22*'Data - samenstelling'!S22)</f>
        <v>15.790148315525602</v>
      </c>
      <c r="V20" s="81"/>
      <c r="W20" s="216"/>
      <c r="X20" s="229"/>
      <c r="Y20" s="229"/>
      <c r="Z20" s="81">
        <f>D187*(1-'Data - samenstelling'!C22)*'Data - samenstelling'!H22*'Data - samenstelling'!U22</f>
        <v>0.24598833989479743</v>
      </c>
      <c r="AA20" s="216">
        <f>D187*(1-'Data - samenstelling'!C22)*'Data - samenstelling'!H22*'Data - samenstelling'!U22</f>
        <v>0.24598833989479743</v>
      </c>
      <c r="AB20" s="217"/>
      <c r="AC20" s="217"/>
      <c r="AD20" s="446">
        <f>(D215*D191)+(D216*D192)+(D215+D216)*D195</f>
        <v>64.696899999999999</v>
      </c>
      <c r="AE20" s="448"/>
      <c r="AF20" s="216">
        <f>D219*D193</f>
        <v>42.846614086956514</v>
      </c>
      <c r="AG20" s="216">
        <f>D221*D191+(D221)*D196</f>
        <v>270.85181047826086</v>
      </c>
      <c r="AH20" s="600">
        <f>(D223*D191)+(D224*D192)+D197*(D223+D224)</f>
        <v>83.219346289130442</v>
      </c>
      <c r="AI20" s="601"/>
      <c r="AJ20" s="82"/>
      <c r="AK20" s="81"/>
      <c r="AL20" s="446">
        <f>(D226*D193)+(D227*D191)+(D192*D228)+(D230*D190)+D198*(D227+D228)</f>
        <v>100.48551160869566</v>
      </c>
      <c r="AM20" s="447"/>
      <c r="AN20" s="447"/>
      <c r="AO20" s="448"/>
      <c r="AP20" s="446">
        <f>(D235*D190)+(D232*D191)+(D233*D192)+D198*(D232+D233)</f>
        <v>33.639692845652178</v>
      </c>
      <c r="AQ20" s="447"/>
      <c r="AR20" s="447"/>
      <c r="AS20" s="447"/>
      <c r="AT20" s="449"/>
    </row>
    <row r="21" spans="2:46" hidden="1" x14ac:dyDescent="0.25">
      <c r="B21" s="98" t="s">
        <v>141</v>
      </c>
      <c r="C21" s="247"/>
      <c r="D21" s="269">
        <f>E142*D13+E147+E148*(1-'Data - samenstelling'!K22)+E149*'Data - samenstelling'!K22+E154*'Data - samenstelling'!K22+E157*'Data - samenstelling'!L22</f>
        <v>112.59177427820839</v>
      </c>
      <c r="E21" s="157">
        <f>E142*E13+E147+E148*(1-'Data - samenstelling'!K22)+E149*'Data - samenstelling'!K22+E159*'Data - samenstelling'!L22</f>
        <v>149.87930202914987</v>
      </c>
      <c r="F21" s="157">
        <f>E142*F13+E147+E148*(1-'Data - samenstelling'!K22)+E149*'Data - samenstelling'!K22+E159*'Data - samenstelling'!L22</f>
        <v>143.90208700077275</v>
      </c>
      <c r="G21" s="157">
        <f>E142*G13+E147+E148*(1-'Data - samenstelling'!K22)+E149*'Data - samenstelling'!K22+E159*'Data - samenstelling'!L22</f>
        <v>143.90208700077275</v>
      </c>
      <c r="H21" s="157">
        <f>E142*H13+E147+E148*(1-'Data - samenstelling'!K22)+E149*'Data - samenstelling'!K22+E154*'Data - samenstelling'!K22+E155*'Data - samenstelling'!L22</f>
        <v>76.154469506863578</v>
      </c>
      <c r="I21" s="157">
        <f>E142*I13+E147+E148*(1-'Data - samenstelling'!K22)+E149*'Data - samenstelling'!K22+E154*'Data - samenstelling'!K22+E155*'Data - samenstelling'!L22</f>
        <v>71.011795571694591</v>
      </c>
      <c r="J21" s="156">
        <f>E142*J13+E147+E148*(1-'Data - samenstelling'!K22)+E149*'Data - samenstelling'!K22+E154*'Data - samenstelling'!K22+E155*'Data - samenstelling'!L22</f>
        <v>98.394247433955783</v>
      </c>
      <c r="K21" s="155">
        <f>E142*K13+E147+E148*(1-'Data - samenstelling'!K22)+E149*'Data - samenstelling'!K22+E154*'Data - samenstelling'!K22+E155*'Data - samenstelling'!L22</f>
        <v>98.394247433955783</v>
      </c>
      <c r="L21" s="192">
        <f>E142*L13+E147+E148*(1-'Data - samenstelling'!K22)+E149*'Data - samenstelling'!K22+E154*'Data - samenstelling'!K22+E155*'Data - samenstelling'!L22</f>
        <v>82.131684535240694</v>
      </c>
      <c r="M21" s="157"/>
      <c r="N21" s="157">
        <f>E142*N13+E147+E148*(1-'Data - samenstelling'!K22)+E149*'Data - samenstelling'!K22+E154*'Data - samenstelling'!K22+E155*'Data - samenstelling'!L22</f>
        <v>82.131684535240694</v>
      </c>
      <c r="O21" s="157">
        <f>E142*O13+E147+E148*(1-'Data - samenstelling'!K22)+E149*'Data - samenstelling'!K22+E154*'Data - samenstelling'!K22+E155*'Data - samenstelling'!L22</f>
        <v>65.869121636525605</v>
      </c>
      <c r="P21" s="156">
        <f>E142*P13+E147+E148*(1-'Data - samenstelling'!K22)+E149*'Data - samenstelling'!K22+E154*'Data - samenstelling'!K22+E155*'Data - samenstelling'!L22</f>
        <v>71.011795571694591</v>
      </c>
      <c r="Q21" s="156">
        <f>F142*Q13+F147+F148*(1-'Data - samenstelling'!L22)+F149*'Data - samenstelling'!L22+F154*'Data - samenstelling'!L22+F155*'Data - samenstelling'!M22</f>
        <v>0</v>
      </c>
      <c r="R21" s="451">
        <f>E142*R13+E147+E148*(1-'Data - samenstelling'!K22)+E145+E149*'Data - samenstelling'!K22+E160*('Data - samenstelling'!K22*0.5)+E157*('Data - samenstelling'!L22*0.5)</f>
        <v>81.801494683050066</v>
      </c>
      <c r="S21" s="452"/>
      <c r="T21" s="453"/>
      <c r="U21" s="157">
        <f>E142*U13+E147+E148*(1-'Data - samenstelling'!K22)+E149*'Data - samenstelling'!K22+E154*'Data - samenstelling'!K22+E157*'Data - samenstelling'!L22</f>
        <v>101.47188531466229</v>
      </c>
      <c r="V21" s="157">
        <f>E$142*V13*2</f>
        <v>0</v>
      </c>
      <c r="W21" s="157"/>
      <c r="X21" s="157">
        <f>E$142*X13</f>
        <v>5.1426739351689834</v>
      </c>
      <c r="Y21" s="157">
        <f>E142*U13+E147+E148*(1-'Data - samenstelling'!K20)</f>
        <v>16.267673935168983</v>
      </c>
      <c r="Z21" s="157">
        <f>E$142*Z13*2</f>
        <v>32.525125797430171</v>
      </c>
      <c r="AA21" s="157">
        <f>E$142*AA13+E143</f>
        <v>41.262562898715089</v>
      </c>
      <c r="AB21" s="156"/>
      <c r="AC21" s="156"/>
      <c r="AD21" s="451">
        <f>E142*AD13+E147+E148*(1-'Data - samenstelling'!K22)+E145+E149*'Data - samenstelling'!K22+E160*'Data - samenstelling'!K22</f>
        <v>50.313389000935203</v>
      </c>
      <c r="AE21" s="453"/>
      <c r="AF21" s="157">
        <f>E142*AF13+E147+E148*(1-'Data - samenstelling'!K22)+E145+E149*'Data - samenstelling'!K22+E159+E163*'Data - samenstelling'!M22</f>
        <v>212.83458083935605</v>
      </c>
      <c r="AG21" s="157">
        <f>E142*AG13+E147+E148*(1-'Data - samenstelling'!K22)+E150*'Data - samenstelling'!K18+E151*'Data - samenstelling'!K19+E152*'Data - samenstelling'!K20+E153*'Data - samenstelling'!K21+E166*'Data - samenstelling'!M22</f>
        <v>360.11630333804987</v>
      </c>
      <c r="AH21" s="451">
        <f>E142*AH13+E147+E148*(1-'Data - samenstelling'!K22)+E150*'Data - samenstelling'!K18+E151*'Data - samenstelling'!K19+E152*'Data - samenstelling'!K20+E153*'Data - samenstelling'!K21+E169*'Data - samenstelling'!M22</f>
        <v>387.2111111980214</v>
      </c>
      <c r="AI21" s="453"/>
      <c r="AJ21" s="451">
        <f>E$142*AJ13*2</f>
        <v>0</v>
      </c>
      <c r="AK21" s="453"/>
      <c r="AL21" s="451">
        <f>E142*AL13+E147+E148*(1-'Data - samenstelling'!K22)+E150*'Data - samenstelling'!K18+E151*'Data - samenstelling'!K19+E152*'Data - samenstelling'!K20+E153*'Data - samenstelling'!K21+E172*'Data - samenstelling'!M22</f>
        <v>386.44819821046906</v>
      </c>
      <c r="AM21" s="452"/>
      <c r="AN21" s="452"/>
      <c r="AO21" s="453"/>
      <c r="AP21" s="451">
        <f>E142*AP13+E147+E148*(1-'Data - samenstelling'!K22)+E150*'Data - samenstelling'!K18+E151*'Data - samenstelling'!K19+E152*'Data - samenstelling'!K20+E153*'Data - samenstelling'!K21+E175*'Data - samenstelling'!M22</f>
        <v>386.448198210469</v>
      </c>
      <c r="AQ21" s="452"/>
      <c r="AR21" s="452"/>
      <c r="AS21" s="452"/>
      <c r="AT21" s="454"/>
    </row>
    <row r="22" spans="2:46" hidden="1" x14ac:dyDescent="0.25">
      <c r="B22" s="98" t="s">
        <v>142</v>
      </c>
      <c r="C22" s="247"/>
      <c r="D22" s="269">
        <f t="shared" ref="D22:R22" si="2">D21*D12</f>
        <v>5629588.7139104195</v>
      </c>
      <c r="E22" s="319">
        <f t="shared" si="2"/>
        <v>7493965.1014574934</v>
      </c>
      <c r="F22" s="157">
        <f t="shared" si="2"/>
        <v>2878041.7400154551</v>
      </c>
      <c r="G22" s="157">
        <f t="shared" si="2"/>
        <v>2878041.7400154551</v>
      </c>
      <c r="H22" s="157">
        <f t="shared" si="2"/>
        <v>1523089.3901372715</v>
      </c>
      <c r="I22" s="157">
        <f t="shared" si="2"/>
        <v>355058.97785847296</v>
      </c>
      <c r="J22" s="157">
        <f t="shared" si="2"/>
        <v>19678849.486791156</v>
      </c>
      <c r="K22" s="157">
        <f t="shared" si="2"/>
        <v>19678849.486791156</v>
      </c>
      <c r="L22" s="157">
        <f t="shared" si="2"/>
        <v>4106584.2267620349</v>
      </c>
      <c r="M22" s="157"/>
      <c r="N22" s="157">
        <f t="shared" si="2"/>
        <v>4106584.2267620349</v>
      </c>
      <c r="O22" s="157">
        <f t="shared" si="2"/>
        <v>0</v>
      </c>
      <c r="P22" s="156">
        <f t="shared" si="2"/>
        <v>355058.97785847296</v>
      </c>
      <c r="Q22" s="156">
        <f>Q21*Q12</f>
        <v>0</v>
      </c>
      <c r="R22" s="451">
        <f t="shared" si="2"/>
        <v>16360298.936610013</v>
      </c>
      <c r="S22" s="452"/>
      <c r="T22" s="453"/>
      <c r="U22" s="157">
        <f t="shared" ref="U22:AD22" si="3">U21*U12</f>
        <v>507359.42657331144</v>
      </c>
      <c r="V22" s="157">
        <f t="shared" si="3"/>
        <v>0</v>
      </c>
      <c r="W22" s="157"/>
      <c r="X22" s="157">
        <f t="shared" si="3"/>
        <v>25713.369675844919</v>
      </c>
      <c r="Y22" s="157">
        <f t="shared" si="3"/>
        <v>81338.369675844908</v>
      </c>
      <c r="Z22" s="157">
        <f t="shared" si="3"/>
        <v>1626256.2898715085</v>
      </c>
      <c r="AA22" s="157">
        <f t="shared" si="3"/>
        <v>2063128.1449357544</v>
      </c>
      <c r="AB22" s="156"/>
      <c r="AC22" s="156"/>
      <c r="AD22" s="451">
        <f t="shared" si="3"/>
        <v>10062677.80018704</v>
      </c>
      <c r="AE22" s="453"/>
      <c r="AF22" s="157">
        <f>AF21*AF12</f>
        <v>42566916.167871207</v>
      </c>
      <c r="AG22" s="157">
        <f>AG21*AG12</f>
        <v>72023260.667609975</v>
      </c>
      <c r="AH22" s="157"/>
      <c r="AI22" s="157">
        <f>AH21*AH12</f>
        <v>77442222.239604279</v>
      </c>
      <c r="AJ22" s="157">
        <f>AJ21*AJ12</f>
        <v>0</v>
      </c>
      <c r="AK22" s="157">
        <f>AK21*AK12</f>
        <v>0</v>
      </c>
      <c r="AL22" s="451">
        <f>AL21*AL12</f>
        <v>77289639.642093807</v>
      </c>
      <c r="AM22" s="452"/>
      <c r="AN22" s="452"/>
      <c r="AO22" s="453"/>
      <c r="AP22" s="451">
        <f>AP21*AP12</f>
        <v>77289639.642093807</v>
      </c>
      <c r="AQ22" s="452"/>
      <c r="AR22" s="452"/>
      <c r="AS22" s="452"/>
      <c r="AT22" s="454"/>
    </row>
    <row r="23" spans="2:46" hidden="1" x14ac:dyDescent="0.25">
      <c r="B23" s="2" t="s">
        <v>143</v>
      </c>
      <c r="C23" s="184"/>
      <c r="D23" s="269">
        <f t="shared" ref="D23:R23" si="4">D20-D21</f>
        <v>-72.599592115390934</v>
      </c>
      <c r="E23" s="320">
        <f t="shared" si="4"/>
        <v>53.578968857127251</v>
      </c>
      <c r="F23" s="192">
        <f t="shared" si="4"/>
        <v>59.556183885504367</v>
      </c>
      <c r="G23" s="192">
        <f t="shared" si="4"/>
        <v>59.556183885504367</v>
      </c>
      <c r="H23" s="192">
        <f t="shared" si="4"/>
        <v>18.975404768101498</v>
      </c>
      <c r="I23" s="192">
        <f t="shared" si="4"/>
        <v>24.118078703270484</v>
      </c>
      <c r="J23" s="192">
        <f t="shared" si="4"/>
        <v>-3.2643731589907077</v>
      </c>
      <c r="K23" s="192">
        <f t="shared" si="4"/>
        <v>-3.2643731589907077</v>
      </c>
      <c r="L23" s="192">
        <f t="shared" si="4"/>
        <v>12.998189739724381</v>
      </c>
      <c r="M23" s="192"/>
      <c r="N23" s="192">
        <f t="shared" si="4"/>
        <v>12.998189739724381</v>
      </c>
      <c r="O23" s="192">
        <f t="shared" si="4"/>
        <v>29.26075263843947</v>
      </c>
      <c r="P23" s="155">
        <f t="shared" si="4"/>
        <v>24.118078703270484</v>
      </c>
      <c r="Q23" s="155">
        <f>Q20-Q21</f>
        <v>0</v>
      </c>
      <c r="R23" s="451">
        <f t="shared" si="4"/>
        <v>-63.563867258458956</v>
      </c>
      <c r="S23" s="452"/>
      <c r="T23" s="453"/>
      <c r="U23" s="157">
        <f>U20-U21</f>
        <v>-85.681736999136689</v>
      </c>
      <c r="V23" s="192">
        <f>V21-V20</f>
        <v>0</v>
      </c>
      <c r="W23" s="192"/>
      <c r="X23" s="192">
        <f>X20-X21</f>
        <v>-5.1426739351689834</v>
      </c>
      <c r="Y23" s="192">
        <f>Y20-Y21</f>
        <v>-16.267673935168983</v>
      </c>
      <c r="Z23" s="192">
        <f>Z20-Z21</f>
        <v>-32.27913745753537</v>
      </c>
      <c r="AA23" s="192">
        <f>AA20-AA21</f>
        <v>-41.016574558820288</v>
      </c>
      <c r="AB23" s="155"/>
      <c r="AC23" s="155"/>
      <c r="AD23" s="451">
        <f>AD20-AD21</f>
        <v>14.383510999064796</v>
      </c>
      <c r="AE23" s="453"/>
      <c r="AF23" s="192">
        <f>AF20-AF21</f>
        <v>-169.98796675239953</v>
      </c>
      <c r="AG23" s="192">
        <f>AG20-AG21</f>
        <v>-89.264492859789016</v>
      </c>
      <c r="AH23" s="451">
        <f>AH20-AH21</f>
        <v>-303.99176490889096</v>
      </c>
      <c r="AI23" s="453"/>
      <c r="AJ23" s="192">
        <f>AJ21-AJ20</f>
        <v>0</v>
      </c>
      <c r="AK23" s="192">
        <f>AK21-AK20</f>
        <v>0</v>
      </c>
      <c r="AL23" s="451">
        <f>AL20-AL21</f>
        <v>-285.96268660177338</v>
      </c>
      <c r="AM23" s="452"/>
      <c r="AN23" s="452"/>
      <c r="AO23" s="453"/>
      <c r="AP23" s="451">
        <f>AP20-AP21</f>
        <v>-352.80850536481682</v>
      </c>
      <c r="AQ23" s="452"/>
      <c r="AR23" s="452"/>
      <c r="AS23" s="452"/>
      <c r="AT23" s="454"/>
    </row>
    <row r="24" spans="2:46" hidden="1" x14ac:dyDescent="0.25">
      <c r="B24" s="187" t="s">
        <v>144</v>
      </c>
      <c r="C24" s="187"/>
      <c r="D24" s="270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592"/>
      <c r="S24" s="592"/>
      <c r="T24" s="592"/>
      <c r="U24" s="191"/>
      <c r="V24" s="191"/>
      <c r="W24" s="191"/>
      <c r="X24" s="191"/>
      <c r="Y24" s="191"/>
      <c r="Z24" s="191"/>
      <c r="AA24" s="191"/>
      <c r="AB24" s="191"/>
      <c r="AC24" s="191"/>
      <c r="AD24" s="590">
        <f>('Data - samenstelling'!N22)/(7500*3600)*1000*1000*(D161)</f>
        <v>166.40349757809986</v>
      </c>
      <c r="AE24" s="590"/>
      <c r="AF24" s="193">
        <f>(D219)/(7500*3600)*1000*1000*D164</f>
        <v>115.05109338164249</v>
      </c>
      <c r="AG24" s="193">
        <f>(D221)/(7500*3600)*1000*1000*D167</f>
        <v>295.84566869565219</v>
      </c>
      <c r="AH24" s="598">
        <f>(D223+D224)/(7500*3600)*1000*1000*D170</f>
        <v>1933.3117721352655</v>
      </c>
      <c r="AI24" s="599"/>
      <c r="AJ24" s="496"/>
      <c r="AK24" s="496"/>
      <c r="AL24" s="496">
        <f>(D227+D226+D228+D229)/(7500*3600)*1000*1000*D173</f>
        <v>2676.8932229565221</v>
      </c>
      <c r="AM24" s="496"/>
      <c r="AN24" s="496"/>
      <c r="AO24" s="496"/>
      <c r="AP24" s="496">
        <f>(D233+D232+D234)/(7500*3600)*1000*1000*D176</f>
        <v>2676.8932229565216</v>
      </c>
      <c r="AQ24" s="496"/>
      <c r="AR24" s="496"/>
      <c r="AS24" s="496"/>
      <c r="AT24" s="497"/>
    </row>
    <row r="25" spans="2:46" hidden="1" x14ac:dyDescent="0.25">
      <c r="B25" s="187" t="s">
        <v>145</v>
      </c>
      <c r="C25" s="187"/>
      <c r="D25" s="271">
        <f>D24/D23</f>
        <v>0</v>
      </c>
      <c r="E25" s="194">
        <f t="shared" ref="E25:P25" si="5">E24/E23</f>
        <v>0</v>
      </c>
      <c r="F25" s="194">
        <f t="shared" si="5"/>
        <v>0</v>
      </c>
      <c r="G25" s="194">
        <f t="shared" si="5"/>
        <v>0</v>
      </c>
      <c r="H25" s="194">
        <f t="shared" si="5"/>
        <v>0</v>
      </c>
      <c r="I25" s="194">
        <f t="shared" si="5"/>
        <v>0</v>
      </c>
      <c r="J25" s="194">
        <f t="shared" si="5"/>
        <v>0</v>
      </c>
      <c r="K25" s="194">
        <f t="shared" si="5"/>
        <v>0</v>
      </c>
      <c r="L25" s="194">
        <f t="shared" si="5"/>
        <v>0</v>
      </c>
      <c r="M25" s="194"/>
      <c r="N25" s="194">
        <f t="shared" si="5"/>
        <v>0</v>
      </c>
      <c r="O25" s="194">
        <f t="shared" si="5"/>
        <v>0</v>
      </c>
      <c r="P25" s="194">
        <f t="shared" si="5"/>
        <v>0</v>
      </c>
      <c r="Q25" s="194" t="e">
        <f>Q24/Q23</f>
        <v>#DIV/0!</v>
      </c>
      <c r="R25" s="498">
        <f>R24/R23</f>
        <v>0</v>
      </c>
      <c r="S25" s="498"/>
      <c r="T25" s="498"/>
      <c r="U25" s="194">
        <f t="shared" ref="U25" si="6">U24/U23</f>
        <v>0</v>
      </c>
      <c r="V25" s="194"/>
      <c r="W25" s="194"/>
      <c r="X25" s="194">
        <f t="shared" ref="X25:AA25" si="7">X24/X23</f>
        <v>0</v>
      </c>
      <c r="Y25" s="194">
        <f t="shared" si="7"/>
        <v>0</v>
      </c>
      <c r="Z25" s="194"/>
      <c r="AA25" s="194">
        <f t="shared" si="7"/>
        <v>0</v>
      </c>
      <c r="AB25" s="194"/>
      <c r="AC25" s="194"/>
      <c r="AD25" s="498">
        <f>AD24/AD23</f>
        <v>11.569045804527091</v>
      </c>
      <c r="AE25" s="498"/>
      <c r="AF25" s="194">
        <f>AF24/AF23</f>
        <v>-0.67681904536938897</v>
      </c>
      <c r="AG25" s="194">
        <f>AG24/AG23</f>
        <v>-3.3142592224250658</v>
      </c>
      <c r="AH25" s="596">
        <f>AH24/AH23</f>
        <v>-6.3597504778285563</v>
      </c>
      <c r="AI25" s="597"/>
      <c r="AJ25" s="498"/>
      <c r="AK25" s="498"/>
      <c r="AL25" s="498">
        <f>AL24/AL23</f>
        <v>-9.3609878084699787</v>
      </c>
      <c r="AM25" s="498"/>
      <c r="AN25" s="498"/>
      <c r="AO25" s="498"/>
      <c r="AP25" s="498">
        <f>AP24/AP23</f>
        <v>-7.58738290673723</v>
      </c>
      <c r="AQ25" s="498"/>
      <c r="AR25" s="498"/>
      <c r="AS25" s="498"/>
      <c r="AT25" s="499"/>
    </row>
    <row r="26" spans="2:46" ht="15" hidden="1" customHeight="1" outlineLevel="1" x14ac:dyDescent="0.25">
      <c r="B26" s="84" t="s">
        <v>146</v>
      </c>
      <c r="C26" s="248"/>
      <c r="D26" s="272"/>
      <c r="E26" s="147"/>
      <c r="F26" s="147"/>
      <c r="G26" s="147"/>
      <c r="H26" s="147"/>
      <c r="I26" s="147"/>
      <c r="J26" s="178"/>
      <c r="K26" s="167"/>
      <c r="L26" s="134"/>
      <c r="M26" s="147"/>
      <c r="N26" s="147"/>
      <c r="O26" s="147"/>
      <c r="P26" s="147"/>
      <c r="Q26" s="147"/>
      <c r="R26" s="167"/>
      <c r="S26" s="178"/>
      <c r="T26" s="147"/>
      <c r="U26" s="147"/>
      <c r="V26" s="147"/>
      <c r="W26" s="147"/>
      <c r="X26" s="147"/>
      <c r="Y26" s="147"/>
      <c r="Z26" s="147"/>
      <c r="AA26" s="147"/>
      <c r="AB26" s="178"/>
      <c r="AC26" s="178"/>
      <c r="AD26" s="167"/>
      <c r="AE26" s="147"/>
      <c r="AF26" s="147"/>
      <c r="AG26" s="147"/>
      <c r="AH26" s="147"/>
      <c r="AI26" s="147"/>
      <c r="AJ26" s="167"/>
      <c r="AK26" s="147"/>
      <c r="AL26" s="167"/>
      <c r="AM26" s="178"/>
      <c r="AN26" s="178"/>
      <c r="AO26" s="147"/>
      <c r="AP26" s="486"/>
      <c r="AQ26" s="487"/>
      <c r="AR26" s="487"/>
      <c r="AS26" s="487"/>
      <c r="AT26" s="488"/>
    </row>
    <row r="27" spans="2:46" ht="15" hidden="1" customHeight="1" outlineLevel="1" x14ac:dyDescent="0.25">
      <c r="B27" s="84" t="s">
        <v>147</v>
      </c>
      <c r="C27" s="249"/>
      <c r="D27" s="256" t="s">
        <v>84</v>
      </c>
      <c r="E27" s="159" t="s">
        <v>84</v>
      </c>
      <c r="F27" s="159" t="s">
        <v>84</v>
      </c>
      <c r="G27" s="159" t="s">
        <v>84</v>
      </c>
      <c r="H27" s="159" t="s">
        <v>84</v>
      </c>
      <c r="I27" s="159" t="s">
        <v>84</v>
      </c>
      <c r="J27" s="159" t="s">
        <v>84</v>
      </c>
      <c r="K27" s="162" t="s">
        <v>84</v>
      </c>
      <c r="L27" s="159" t="s">
        <v>84</v>
      </c>
      <c r="M27" s="159"/>
      <c r="N27" s="159" t="s">
        <v>84</v>
      </c>
      <c r="O27" s="159" t="s">
        <v>84</v>
      </c>
      <c r="P27" s="159" t="s">
        <v>84</v>
      </c>
      <c r="Q27" s="159" t="s">
        <v>84</v>
      </c>
      <c r="R27" s="463" t="s">
        <v>84</v>
      </c>
      <c r="S27" s="465"/>
      <c r="T27" s="464"/>
      <c r="U27" s="159" t="s">
        <v>84</v>
      </c>
      <c r="V27" s="159"/>
      <c r="W27" s="159"/>
      <c r="X27" s="159" t="s">
        <v>84</v>
      </c>
      <c r="Y27" s="159" t="s">
        <v>84</v>
      </c>
      <c r="Z27" s="159" t="s">
        <v>84</v>
      </c>
      <c r="AA27" s="159" t="s">
        <v>84</v>
      </c>
      <c r="AB27" s="162"/>
      <c r="AC27" s="162"/>
      <c r="AD27" s="463" t="s">
        <v>84</v>
      </c>
      <c r="AE27" s="464"/>
      <c r="AF27" s="159" t="s">
        <v>84</v>
      </c>
      <c r="AG27" s="159" t="s">
        <v>84</v>
      </c>
      <c r="AH27" s="159"/>
      <c r="AI27" s="159" t="s">
        <v>84</v>
      </c>
      <c r="AJ27" s="48"/>
      <c r="AK27" s="49"/>
      <c r="AL27" s="463" t="s">
        <v>84</v>
      </c>
      <c r="AM27" s="465"/>
      <c r="AN27" s="465"/>
      <c r="AO27" s="464"/>
      <c r="AP27" s="463" t="s">
        <v>84</v>
      </c>
      <c r="AQ27" s="465"/>
      <c r="AR27" s="465"/>
      <c r="AS27" s="465"/>
      <c r="AT27" s="466"/>
    </row>
    <row r="28" spans="2:46" ht="18.75" hidden="1" customHeight="1" outlineLevel="1" x14ac:dyDescent="0.25">
      <c r="B28" s="84" t="s">
        <v>148</v>
      </c>
      <c r="C28" s="249"/>
      <c r="D28" s="257" t="s">
        <v>85</v>
      </c>
      <c r="E28" s="14" t="s">
        <v>85</v>
      </c>
      <c r="F28" s="14" t="s">
        <v>85</v>
      </c>
      <c r="G28" s="14" t="s">
        <v>85</v>
      </c>
      <c r="H28" s="14" t="s">
        <v>85</v>
      </c>
      <c r="I28" s="14" t="s">
        <v>85</v>
      </c>
      <c r="J28" s="14" t="s">
        <v>85</v>
      </c>
      <c r="K28" s="164" t="s">
        <v>85</v>
      </c>
      <c r="L28" s="14" t="s">
        <v>85</v>
      </c>
      <c r="M28" s="14"/>
      <c r="N28" s="14" t="s">
        <v>85</v>
      </c>
      <c r="O28" s="14" t="s">
        <v>85</v>
      </c>
      <c r="P28" s="14" t="s">
        <v>85</v>
      </c>
      <c r="Q28" s="14" t="s">
        <v>85</v>
      </c>
      <c r="R28" s="467" t="s">
        <v>85</v>
      </c>
      <c r="S28" s="469"/>
      <c r="T28" s="468"/>
      <c r="U28" s="14" t="s">
        <v>85</v>
      </c>
      <c r="V28" s="163"/>
      <c r="W28" s="163"/>
      <c r="X28" s="14" t="s">
        <v>85</v>
      </c>
      <c r="Y28" s="14" t="s">
        <v>85</v>
      </c>
      <c r="Z28" s="14" t="s">
        <v>85</v>
      </c>
      <c r="AA28" s="14" t="s">
        <v>85</v>
      </c>
      <c r="AB28" s="164"/>
      <c r="AC28" s="164"/>
      <c r="AD28" s="467" t="s">
        <v>85</v>
      </c>
      <c r="AE28" s="468"/>
      <c r="AF28" s="14" t="s">
        <v>85</v>
      </c>
      <c r="AG28" s="14" t="s">
        <v>85</v>
      </c>
      <c r="AH28" s="14"/>
      <c r="AI28" s="14" t="s">
        <v>85</v>
      </c>
      <c r="AJ28" s="48"/>
      <c r="AK28" s="49"/>
      <c r="AL28" s="467" t="s">
        <v>85</v>
      </c>
      <c r="AM28" s="469"/>
      <c r="AN28" s="469"/>
      <c r="AO28" s="468"/>
      <c r="AP28" s="467" t="s">
        <v>85</v>
      </c>
      <c r="AQ28" s="469"/>
      <c r="AR28" s="469"/>
      <c r="AS28" s="469"/>
      <c r="AT28" s="483"/>
    </row>
    <row r="29" spans="2:46" ht="18.75" hidden="1" customHeight="1" outlineLevel="1" x14ac:dyDescent="0.25">
      <c r="B29" s="84" t="s">
        <v>149</v>
      </c>
      <c r="C29" s="248"/>
      <c r="D29" s="257" t="s">
        <v>85</v>
      </c>
      <c r="E29" s="14" t="s">
        <v>85</v>
      </c>
      <c r="F29" s="14" t="s">
        <v>85</v>
      </c>
      <c r="G29" s="14" t="s">
        <v>85</v>
      </c>
      <c r="H29" s="14" t="s">
        <v>85</v>
      </c>
      <c r="I29" s="14" t="s">
        <v>85</v>
      </c>
      <c r="J29" s="14" t="s">
        <v>85</v>
      </c>
      <c r="K29" s="164" t="s">
        <v>85</v>
      </c>
      <c r="L29" s="14" t="s">
        <v>85</v>
      </c>
      <c r="M29" s="14"/>
      <c r="N29" s="14" t="s">
        <v>85</v>
      </c>
      <c r="O29" s="14" t="s">
        <v>85</v>
      </c>
      <c r="P29" s="14" t="s">
        <v>85</v>
      </c>
      <c r="Q29" s="14" t="s">
        <v>85</v>
      </c>
      <c r="R29" s="467" t="s">
        <v>85</v>
      </c>
      <c r="S29" s="469"/>
      <c r="T29" s="468"/>
      <c r="U29" s="14" t="s">
        <v>85</v>
      </c>
      <c r="V29" s="163"/>
      <c r="W29" s="163"/>
      <c r="X29" s="14" t="s">
        <v>85</v>
      </c>
      <c r="Y29" s="14" t="s">
        <v>85</v>
      </c>
      <c r="Z29" s="14" t="s">
        <v>85</v>
      </c>
      <c r="AA29" s="14" t="s">
        <v>85</v>
      </c>
      <c r="AB29" s="164"/>
      <c r="AC29" s="164"/>
      <c r="AD29" s="467" t="s">
        <v>85</v>
      </c>
      <c r="AE29" s="468"/>
      <c r="AF29" s="14" t="s">
        <v>85</v>
      </c>
      <c r="AG29" s="14" t="s">
        <v>85</v>
      </c>
      <c r="AH29" s="14"/>
      <c r="AI29" s="14" t="s">
        <v>85</v>
      </c>
      <c r="AJ29" s="48"/>
      <c r="AK29" s="49"/>
      <c r="AL29" s="467" t="s">
        <v>85</v>
      </c>
      <c r="AM29" s="469"/>
      <c r="AN29" s="469"/>
      <c r="AO29" s="468"/>
      <c r="AP29" s="467" t="s">
        <v>85</v>
      </c>
      <c r="AQ29" s="469"/>
      <c r="AR29" s="469"/>
      <c r="AS29" s="469"/>
      <c r="AT29" s="483"/>
    </row>
    <row r="30" spans="2:46" ht="15" hidden="1" customHeight="1" outlineLevel="1" x14ac:dyDescent="0.25">
      <c r="B30" s="84" t="s">
        <v>150</v>
      </c>
      <c r="C30" s="248"/>
      <c r="D30" s="256" t="s">
        <v>84</v>
      </c>
      <c r="E30" s="159" t="s">
        <v>84</v>
      </c>
      <c r="F30" s="159" t="s">
        <v>84</v>
      </c>
      <c r="G30" s="159" t="s">
        <v>84</v>
      </c>
      <c r="H30" s="159" t="s">
        <v>84</v>
      </c>
      <c r="I30" s="159" t="s">
        <v>84</v>
      </c>
      <c r="J30" s="159" t="s">
        <v>84</v>
      </c>
      <c r="K30" s="162" t="s">
        <v>84</v>
      </c>
      <c r="L30" s="159" t="s">
        <v>84</v>
      </c>
      <c r="M30" s="159"/>
      <c r="N30" s="159" t="s">
        <v>84</v>
      </c>
      <c r="O30" s="159" t="s">
        <v>84</v>
      </c>
      <c r="P30" s="159" t="s">
        <v>84</v>
      </c>
      <c r="Q30" s="159" t="s">
        <v>84</v>
      </c>
      <c r="R30" s="463" t="s">
        <v>84</v>
      </c>
      <c r="S30" s="465"/>
      <c r="T30" s="464"/>
      <c r="U30" s="159" t="s">
        <v>84</v>
      </c>
      <c r="V30" s="159"/>
      <c r="W30" s="159"/>
      <c r="X30" s="3" t="s">
        <v>86</v>
      </c>
      <c r="Y30" s="159" t="s">
        <v>84</v>
      </c>
      <c r="Z30" s="3" t="s">
        <v>86</v>
      </c>
      <c r="AA30" s="3" t="s">
        <v>86</v>
      </c>
      <c r="AB30" s="160"/>
      <c r="AC30" s="160"/>
      <c r="AD30" s="463" t="s">
        <v>84</v>
      </c>
      <c r="AE30" s="464"/>
      <c r="AF30" s="159" t="s">
        <v>84</v>
      </c>
      <c r="AG30" s="159" t="s">
        <v>84</v>
      </c>
      <c r="AH30" s="159"/>
      <c r="AI30" s="159" t="s">
        <v>84</v>
      </c>
      <c r="AJ30" s="48"/>
      <c r="AK30" s="49"/>
      <c r="AL30" s="463" t="s">
        <v>84</v>
      </c>
      <c r="AM30" s="465"/>
      <c r="AN30" s="465"/>
      <c r="AO30" s="464"/>
      <c r="AP30" s="463" t="s">
        <v>84</v>
      </c>
      <c r="AQ30" s="465"/>
      <c r="AR30" s="465"/>
      <c r="AS30" s="465"/>
      <c r="AT30" s="466"/>
    </row>
    <row r="31" spans="2:46" ht="15" hidden="1" customHeight="1" outlineLevel="1" x14ac:dyDescent="0.25">
      <c r="B31" s="84" t="s">
        <v>151</v>
      </c>
      <c r="C31" s="248"/>
      <c r="D31" s="256" t="s">
        <v>84</v>
      </c>
      <c r="E31" s="159" t="s">
        <v>84</v>
      </c>
      <c r="F31" s="159" t="s">
        <v>84</v>
      </c>
      <c r="G31" s="159" t="s">
        <v>84</v>
      </c>
      <c r="H31" s="159" t="s">
        <v>84</v>
      </c>
      <c r="I31" s="159" t="s">
        <v>84</v>
      </c>
      <c r="J31" s="159" t="s">
        <v>84</v>
      </c>
      <c r="K31" s="162" t="s">
        <v>84</v>
      </c>
      <c r="L31" s="159" t="s">
        <v>84</v>
      </c>
      <c r="M31" s="159"/>
      <c r="N31" s="159" t="s">
        <v>84</v>
      </c>
      <c r="O31" s="159" t="s">
        <v>84</v>
      </c>
      <c r="P31" s="159" t="s">
        <v>84</v>
      </c>
      <c r="Q31" s="159" t="s">
        <v>84</v>
      </c>
      <c r="R31" s="463" t="s">
        <v>84</v>
      </c>
      <c r="S31" s="465"/>
      <c r="T31" s="464"/>
      <c r="U31" s="159" t="s">
        <v>84</v>
      </c>
      <c r="V31" s="159"/>
      <c r="W31" s="159"/>
      <c r="X31" s="3" t="s">
        <v>86</v>
      </c>
      <c r="Y31" s="159" t="s">
        <v>84</v>
      </c>
      <c r="Z31" s="3" t="s">
        <v>86</v>
      </c>
      <c r="AA31" s="3" t="s">
        <v>86</v>
      </c>
      <c r="AB31" s="160"/>
      <c r="AC31" s="160"/>
      <c r="AD31" s="463" t="s">
        <v>84</v>
      </c>
      <c r="AE31" s="464"/>
      <c r="AF31" s="159" t="s">
        <v>84</v>
      </c>
      <c r="AG31" s="159" t="s">
        <v>84</v>
      </c>
      <c r="AH31" s="159"/>
      <c r="AI31" s="159" t="s">
        <v>84</v>
      </c>
      <c r="AJ31" s="48"/>
      <c r="AK31" s="49"/>
      <c r="AL31" s="463" t="s">
        <v>84</v>
      </c>
      <c r="AM31" s="465"/>
      <c r="AN31" s="465"/>
      <c r="AO31" s="464"/>
      <c r="AP31" s="463" t="s">
        <v>84</v>
      </c>
      <c r="AQ31" s="465"/>
      <c r="AR31" s="465"/>
      <c r="AS31" s="465"/>
      <c r="AT31" s="466"/>
    </row>
    <row r="32" spans="2:46" ht="15" hidden="1" customHeight="1" outlineLevel="1" x14ac:dyDescent="0.25">
      <c r="B32" s="84" t="s">
        <v>152</v>
      </c>
      <c r="C32" s="248"/>
      <c r="D32" s="256" t="s">
        <v>84</v>
      </c>
      <c r="E32" s="159" t="s">
        <v>84</v>
      </c>
      <c r="F32" s="159" t="s">
        <v>84</v>
      </c>
      <c r="G32" s="159" t="s">
        <v>84</v>
      </c>
      <c r="H32" s="159" t="s">
        <v>84</v>
      </c>
      <c r="I32" s="159" t="s">
        <v>84</v>
      </c>
      <c r="J32" s="159" t="s">
        <v>84</v>
      </c>
      <c r="K32" s="162" t="s">
        <v>84</v>
      </c>
      <c r="L32" s="159" t="s">
        <v>84</v>
      </c>
      <c r="M32" s="159"/>
      <c r="N32" s="159" t="s">
        <v>84</v>
      </c>
      <c r="O32" s="159" t="s">
        <v>84</v>
      </c>
      <c r="P32" s="159" t="s">
        <v>84</v>
      </c>
      <c r="Q32" s="159" t="s">
        <v>84</v>
      </c>
      <c r="R32" s="463" t="s">
        <v>84</v>
      </c>
      <c r="S32" s="465"/>
      <c r="T32" s="464"/>
      <c r="U32" s="159" t="s">
        <v>84</v>
      </c>
      <c r="V32" s="49"/>
      <c r="W32" s="49"/>
      <c r="X32" s="3" t="s">
        <v>86</v>
      </c>
      <c r="Y32" s="3" t="s">
        <v>86</v>
      </c>
      <c r="Z32" s="49"/>
      <c r="AA32" s="3" t="s">
        <v>86</v>
      </c>
      <c r="AB32" s="160"/>
      <c r="AC32" s="160"/>
      <c r="AD32" s="463" t="s">
        <v>84</v>
      </c>
      <c r="AE32" s="464"/>
      <c r="AF32" s="159" t="s">
        <v>84</v>
      </c>
      <c r="AG32" s="3" t="s">
        <v>86</v>
      </c>
      <c r="AH32" s="3"/>
      <c r="AI32" s="3" t="s">
        <v>86</v>
      </c>
      <c r="AJ32" s="48"/>
      <c r="AK32" s="49"/>
      <c r="AL32" s="457" t="s">
        <v>86</v>
      </c>
      <c r="AM32" s="458"/>
      <c r="AN32" s="458"/>
      <c r="AO32" s="474"/>
      <c r="AP32" s="457" t="s">
        <v>86</v>
      </c>
      <c r="AQ32" s="458"/>
      <c r="AR32" s="458"/>
      <c r="AS32" s="458"/>
      <c r="AT32" s="473"/>
    </row>
    <row r="33" spans="2:46" ht="18.75" hidden="1" customHeight="1" outlineLevel="1" x14ac:dyDescent="0.25">
      <c r="B33" s="84" t="s">
        <v>153</v>
      </c>
      <c r="C33" s="248"/>
      <c r="D33" s="256" t="s">
        <v>84</v>
      </c>
      <c r="E33" s="159" t="s">
        <v>84</v>
      </c>
      <c r="F33" s="14" t="s">
        <v>85</v>
      </c>
      <c r="G33" s="14" t="s">
        <v>85</v>
      </c>
      <c r="H33" s="159" t="s">
        <v>84</v>
      </c>
      <c r="I33" s="159" t="s">
        <v>84</v>
      </c>
      <c r="J33" s="159" t="s">
        <v>84</v>
      </c>
      <c r="K33" s="162" t="s">
        <v>84</v>
      </c>
      <c r="L33" s="159" t="s">
        <v>84</v>
      </c>
      <c r="M33" s="159"/>
      <c r="N33" s="159" t="s">
        <v>84</v>
      </c>
      <c r="O33" s="159" t="s">
        <v>84</v>
      </c>
      <c r="P33" s="159" t="s">
        <v>84</v>
      </c>
      <c r="Q33" s="159" t="s">
        <v>84</v>
      </c>
      <c r="R33" s="457" t="s">
        <v>86</v>
      </c>
      <c r="S33" s="458"/>
      <c r="T33" s="474"/>
      <c r="U33" s="159" t="s">
        <v>84</v>
      </c>
      <c r="V33" s="49"/>
      <c r="W33" s="49"/>
      <c r="X33" s="3" t="s">
        <v>86</v>
      </c>
      <c r="Y33" s="3" t="s">
        <v>86</v>
      </c>
      <c r="Z33" s="49"/>
      <c r="AA33" s="3" t="s">
        <v>86</v>
      </c>
      <c r="AB33" s="160"/>
      <c r="AC33" s="160"/>
      <c r="AD33" s="457" t="s">
        <v>86</v>
      </c>
      <c r="AE33" s="474"/>
      <c r="AF33" s="3" t="s">
        <v>86</v>
      </c>
      <c r="AG33" s="3" t="s">
        <v>86</v>
      </c>
      <c r="AH33" s="3"/>
      <c r="AI33" s="3" t="s">
        <v>86</v>
      </c>
      <c r="AJ33" s="48"/>
      <c r="AK33" s="49"/>
      <c r="AL33" s="457" t="s">
        <v>86</v>
      </c>
      <c r="AM33" s="458"/>
      <c r="AN33" s="458"/>
      <c r="AO33" s="474"/>
      <c r="AP33" s="457" t="s">
        <v>86</v>
      </c>
      <c r="AQ33" s="458"/>
      <c r="AR33" s="458"/>
      <c r="AS33" s="458"/>
      <c r="AT33" s="473"/>
    </row>
    <row r="34" spans="2:46" ht="18.75" hidden="1" customHeight="1" outlineLevel="1" x14ac:dyDescent="0.25">
      <c r="B34" s="84" t="s">
        <v>154</v>
      </c>
      <c r="C34" s="248"/>
      <c r="D34" s="273" t="s">
        <v>86</v>
      </c>
      <c r="E34" s="14" t="s">
        <v>85</v>
      </c>
      <c r="F34" s="14" t="s">
        <v>85</v>
      </c>
      <c r="G34" s="14" t="s">
        <v>85</v>
      </c>
      <c r="H34" s="3" t="s">
        <v>86</v>
      </c>
      <c r="I34" s="3" t="s">
        <v>86</v>
      </c>
      <c r="J34" s="3" t="s">
        <v>86</v>
      </c>
      <c r="K34" s="160" t="s">
        <v>86</v>
      </c>
      <c r="L34" s="3" t="s">
        <v>86</v>
      </c>
      <c r="M34" s="3"/>
      <c r="N34" s="3" t="s">
        <v>86</v>
      </c>
      <c r="O34" s="3" t="s">
        <v>86</v>
      </c>
      <c r="P34" s="3" t="s">
        <v>86</v>
      </c>
      <c r="Q34" s="3" t="s">
        <v>86</v>
      </c>
      <c r="R34" s="457" t="s">
        <v>86</v>
      </c>
      <c r="S34" s="458"/>
      <c r="T34" s="474"/>
      <c r="U34" s="3" t="s">
        <v>86</v>
      </c>
      <c r="V34" s="49"/>
      <c r="W34" s="49"/>
      <c r="X34" s="3" t="s">
        <v>86</v>
      </c>
      <c r="Y34" s="3" t="s">
        <v>86</v>
      </c>
      <c r="Z34" s="49"/>
      <c r="AA34" s="3" t="s">
        <v>86</v>
      </c>
      <c r="AB34" s="160"/>
      <c r="AC34" s="160"/>
      <c r="AD34" s="457" t="s">
        <v>86</v>
      </c>
      <c r="AE34" s="474"/>
      <c r="AF34" s="159" t="s">
        <v>84</v>
      </c>
      <c r="AG34" s="159" t="s">
        <v>84</v>
      </c>
      <c r="AH34" s="159"/>
      <c r="AI34" s="159" t="s">
        <v>84</v>
      </c>
      <c r="AJ34" s="48"/>
      <c r="AK34" s="49"/>
      <c r="AL34" s="463" t="s">
        <v>84</v>
      </c>
      <c r="AM34" s="465"/>
      <c r="AN34" s="465"/>
      <c r="AO34" s="464"/>
      <c r="AP34" s="463" t="s">
        <v>84</v>
      </c>
      <c r="AQ34" s="465"/>
      <c r="AR34" s="465"/>
      <c r="AS34" s="465"/>
      <c r="AT34" s="466"/>
    </row>
    <row r="35" spans="2:46" ht="15" hidden="1" customHeight="1" outlineLevel="1" x14ac:dyDescent="0.25">
      <c r="B35" s="85" t="s">
        <v>155</v>
      </c>
      <c r="C35" s="250" t="s">
        <v>156</v>
      </c>
      <c r="D35" s="273" t="s">
        <v>86</v>
      </c>
      <c r="E35" s="3" t="s">
        <v>86</v>
      </c>
      <c r="F35" s="3" t="s">
        <v>86</v>
      </c>
      <c r="G35" s="3" t="s">
        <v>86</v>
      </c>
      <c r="H35" s="159" t="s">
        <v>84</v>
      </c>
      <c r="I35" s="159" t="s">
        <v>84</v>
      </c>
      <c r="J35" s="159" t="s">
        <v>84</v>
      </c>
      <c r="K35" s="162" t="s">
        <v>84</v>
      </c>
      <c r="L35" s="159" t="s">
        <v>84</v>
      </c>
      <c r="M35" s="159"/>
      <c r="N35" s="159" t="s">
        <v>84</v>
      </c>
      <c r="O35" s="159" t="s">
        <v>84</v>
      </c>
      <c r="P35" s="159" t="s">
        <v>84</v>
      </c>
      <c r="Q35" s="159" t="s">
        <v>84</v>
      </c>
      <c r="R35" s="457" t="s">
        <v>86</v>
      </c>
      <c r="S35" s="458"/>
      <c r="T35" s="474"/>
      <c r="U35" s="3" t="s">
        <v>86</v>
      </c>
      <c r="V35" s="49"/>
      <c r="W35" s="49"/>
      <c r="X35" s="3" t="s">
        <v>86</v>
      </c>
      <c r="Y35" s="3" t="s">
        <v>86</v>
      </c>
      <c r="Z35" s="49"/>
      <c r="AA35" s="3" t="s">
        <v>86</v>
      </c>
      <c r="AB35" s="160"/>
      <c r="AC35" s="160"/>
      <c r="AD35" s="457" t="s">
        <v>86</v>
      </c>
      <c r="AE35" s="474"/>
      <c r="AF35" s="3" t="s">
        <v>86</v>
      </c>
      <c r="AG35" s="3" t="s">
        <v>86</v>
      </c>
      <c r="AH35" s="3"/>
      <c r="AI35" s="3" t="s">
        <v>86</v>
      </c>
      <c r="AJ35" s="48"/>
      <c r="AK35" s="49"/>
      <c r="AL35" s="457" t="s">
        <v>86</v>
      </c>
      <c r="AM35" s="458"/>
      <c r="AN35" s="458"/>
      <c r="AO35" s="474"/>
      <c r="AP35" s="457" t="s">
        <v>86</v>
      </c>
      <c r="AQ35" s="458"/>
      <c r="AR35" s="458"/>
      <c r="AS35" s="458"/>
      <c r="AT35" s="473"/>
    </row>
    <row r="36" spans="2:46" ht="15" hidden="1" customHeight="1" outlineLevel="1" x14ac:dyDescent="0.25">
      <c r="B36" s="84"/>
      <c r="C36" s="250" t="s">
        <v>157</v>
      </c>
      <c r="D36" s="256" t="s">
        <v>84</v>
      </c>
      <c r="E36" s="3" t="s">
        <v>86</v>
      </c>
      <c r="F36" s="3" t="s">
        <v>86</v>
      </c>
      <c r="G36" s="3" t="s">
        <v>86</v>
      </c>
      <c r="H36" s="3" t="s">
        <v>86</v>
      </c>
      <c r="I36" s="3" t="s">
        <v>86</v>
      </c>
      <c r="J36" s="3" t="s">
        <v>86</v>
      </c>
      <c r="K36" s="160" t="s">
        <v>86</v>
      </c>
      <c r="L36" s="3" t="s">
        <v>86</v>
      </c>
      <c r="M36" s="3"/>
      <c r="N36" s="3" t="s">
        <v>86</v>
      </c>
      <c r="O36" s="3" t="s">
        <v>86</v>
      </c>
      <c r="P36" s="3" t="s">
        <v>86</v>
      </c>
      <c r="Q36" s="3" t="s">
        <v>86</v>
      </c>
      <c r="R36" s="457" t="s">
        <v>86</v>
      </c>
      <c r="S36" s="458"/>
      <c r="T36" s="474"/>
      <c r="U36" s="159" t="s">
        <v>84</v>
      </c>
      <c r="V36" s="49"/>
      <c r="W36" s="49"/>
      <c r="X36" s="3" t="s">
        <v>86</v>
      </c>
      <c r="Y36" s="3" t="s">
        <v>86</v>
      </c>
      <c r="Z36" s="49"/>
      <c r="AA36" s="3" t="s">
        <v>86</v>
      </c>
      <c r="AB36" s="160"/>
      <c r="AC36" s="160"/>
      <c r="AD36" s="457" t="s">
        <v>86</v>
      </c>
      <c r="AE36" s="474"/>
      <c r="AF36" s="3" t="s">
        <v>86</v>
      </c>
      <c r="AG36" s="3" t="s">
        <v>86</v>
      </c>
      <c r="AH36" s="3"/>
      <c r="AI36" s="3" t="s">
        <v>86</v>
      </c>
      <c r="AJ36" s="48"/>
      <c r="AK36" s="49"/>
      <c r="AL36" s="457" t="s">
        <v>86</v>
      </c>
      <c r="AM36" s="458"/>
      <c r="AN36" s="458"/>
      <c r="AO36" s="474"/>
      <c r="AP36" s="457" t="s">
        <v>86</v>
      </c>
      <c r="AQ36" s="458"/>
      <c r="AR36" s="458"/>
      <c r="AS36" s="458"/>
      <c r="AT36" s="473"/>
    </row>
    <row r="37" spans="2:46" ht="15" hidden="1" customHeight="1" outlineLevel="1" x14ac:dyDescent="0.25">
      <c r="B37" s="84"/>
      <c r="C37" s="248" t="s">
        <v>158</v>
      </c>
      <c r="D37" s="273" t="s">
        <v>86</v>
      </c>
      <c r="E37" s="159" t="s">
        <v>84</v>
      </c>
      <c r="F37" s="159" t="s">
        <v>84</v>
      </c>
      <c r="G37" s="159" t="s">
        <v>84</v>
      </c>
      <c r="H37" s="3" t="s">
        <v>86</v>
      </c>
      <c r="I37" s="3" t="s">
        <v>86</v>
      </c>
      <c r="J37" s="3" t="s">
        <v>86</v>
      </c>
      <c r="K37" s="160" t="s">
        <v>86</v>
      </c>
      <c r="L37" s="3" t="s">
        <v>86</v>
      </c>
      <c r="M37" s="3"/>
      <c r="N37" s="3" t="s">
        <v>86</v>
      </c>
      <c r="O37" s="3" t="s">
        <v>86</v>
      </c>
      <c r="P37" s="3" t="s">
        <v>86</v>
      </c>
      <c r="Q37" s="3" t="s">
        <v>86</v>
      </c>
      <c r="R37" s="457" t="s">
        <v>86</v>
      </c>
      <c r="S37" s="458"/>
      <c r="T37" s="474"/>
      <c r="U37" s="3" t="s">
        <v>86</v>
      </c>
      <c r="V37" s="49"/>
      <c r="W37" s="49"/>
      <c r="X37" s="3" t="s">
        <v>86</v>
      </c>
      <c r="Y37" s="3" t="s">
        <v>86</v>
      </c>
      <c r="Z37" s="49"/>
      <c r="AA37" s="3" t="s">
        <v>86</v>
      </c>
      <c r="AB37" s="160"/>
      <c r="AC37" s="160"/>
      <c r="AD37" s="457" t="s">
        <v>86</v>
      </c>
      <c r="AE37" s="474"/>
      <c r="AF37" s="159" t="s">
        <v>84</v>
      </c>
      <c r="AG37" s="3" t="s">
        <v>86</v>
      </c>
      <c r="AH37" s="3"/>
      <c r="AI37" s="3" t="s">
        <v>86</v>
      </c>
      <c r="AJ37" s="48"/>
      <c r="AK37" s="49"/>
      <c r="AL37" s="457" t="s">
        <v>86</v>
      </c>
      <c r="AM37" s="458"/>
      <c r="AN37" s="458"/>
      <c r="AO37" s="474"/>
      <c r="AP37" s="457" t="s">
        <v>86</v>
      </c>
      <c r="AQ37" s="458"/>
      <c r="AR37" s="458"/>
      <c r="AS37" s="458"/>
      <c r="AT37" s="473"/>
    </row>
    <row r="38" spans="2:46" ht="15" hidden="1" customHeight="1" outlineLevel="1" x14ac:dyDescent="0.25">
      <c r="B38" s="84" t="s">
        <v>159</v>
      </c>
      <c r="C38" s="248"/>
      <c r="D38" s="273" t="s">
        <v>86</v>
      </c>
      <c r="E38" s="3" t="s">
        <v>86</v>
      </c>
      <c r="F38" s="3" t="s">
        <v>86</v>
      </c>
      <c r="G38" s="3" t="s">
        <v>86</v>
      </c>
      <c r="H38" s="3" t="s">
        <v>86</v>
      </c>
      <c r="I38" s="3" t="s">
        <v>86</v>
      </c>
      <c r="J38" s="3" t="s">
        <v>86</v>
      </c>
      <c r="K38" s="160" t="s">
        <v>86</v>
      </c>
      <c r="L38" s="3" t="s">
        <v>86</v>
      </c>
      <c r="M38" s="3"/>
      <c r="N38" s="3" t="s">
        <v>86</v>
      </c>
      <c r="O38" s="3" t="s">
        <v>86</v>
      </c>
      <c r="P38" s="3" t="s">
        <v>86</v>
      </c>
      <c r="Q38" s="3" t="s">
        <v>86</v>
      </c>
      <c r="R38" s="457" t="s">
        <v>86</v>
      </c>
      <c r="S38" s="458"/>
      <c r="T38" s="474"/>
      <c r="U38" s="3" t="s">
        <v>86</v>
      </c>
      <c r="V38" s="49"/>
      <c r="W38" s="49"/>
      <c r="X38" s="3" t="s">
        <v>86</v>
      </c>
      <c r="Y38" s="3" t="s">
        <v>86</v>
      </c>
      <c r="Z38" s="49"/>
      <c r="AA38" s="159" t="s">
        <v>84</v>
      </c>
      <c r="AB38" s="162"/>
      <c r="AC38" s="162"/>
      <c r="AD38" s="457" t="s">
        <v>86</v>
      </c>
      <c r="AE38" s="474"/>
      <c r="AF38" s="3" t="s">
        <v>86</v>
      </c>
      <c r="AG38" s="3" t="s">
        <v>86</v>
      </c>
      <c r="AH38" s="3"/>
      <c r="AI38" s="3" t="s">
        <v>86</v>
      </c>
      <c r="AJ38" s="48"/>
      <c r="AK38" s="49"/>
      <c r="AL38" s="457" t="s">
        <v>86</v>
      </c>
      <c r="AM38" s="458"/>
      <c r="AN38" s="458"/>
      <c r="AO38" s="474"/>
      <c r="AP38" s="457" t="s">
        <v>86</v>
      </c>
      <c r="AQ38" s="458"/>
      <c r="AR38" s="458"/>
      <c r="AS38" s="458"/>
      <c r="AT38" s="473"/>
    </row>
    <row r="39" spans="2:46" ht="15" hidden="1" customHeight="1" outlineLevel="1" x14ac:dyDescent="0.25">
      <c r="B39" s="84" t="s">
        <v>13</v>
      </c>
      <c r="C39" s="248"/>
      <c r="D39" s="273" t="s">
        <v>86</v>
      </c>
      <c r="E39" s="3" t="s">
        <v>86</v>
      </c>
      <c r="F39" s="3" t="s">
        <v>86</v>
      </c>
      <c r="G39" s="3" t="s">
        <v>86</v>
      </c>
      <c r="H39" s="3" t="s">
        <v>86</v>
      </c>
      <c r="I39" s="3" t="s">
        <v>86</v>
      </c>
      <c r="J39" s="3" t="s">
        <v>86</v>
      </c>
      <c r="K39" s="160" t="s">
        <v>86</v>
      </c>
      <c r="L39" s="3" t="s">
        <v>86</v>
      </c>
      <c r="M39" s="3"/>
      <c r="N39" s="3" t="s">
        <v>86</v>
      </c>
      <c r="O39" s="3" t="s">
        <v>86</v>
      </c>
      <c r="P39" s="3" t="s">
        <v>86</v>
      </c>
      <c r="Q39" s="3" t="s">
        <v>86</v>
      </c>
      <c r="R39" s="463" t="s">
        <v>84</v>
      </c>
      <c r="S39" s="465"/>
      <c r="T39" s="464"/>
      <c r="U39" s="3" t="s">
        <v>86</v>
      </c>
      <c r="V39" s="49"/>
      <c r="W39" s="49"/>
      <c r="X39" s="3" t="s">
        <v>86</v>
      </c>
      <c r="Y39" s="3" t="s">
        <v>86</v>
      </c>
      <c r="Z39" s="49"/>
      <c r="AA39" s="3" t="s">
        <v>86</v>
      </c>
      <c r="AB39" s="160"/>
      <c r="AC39" s="160"/>
      <c r="AD39" s="463" t="s">
        <v>84</v>
      </c>
      <c r="AE39" s="464"/>
      <c r="AF39" s="3" t="s">
        <v>86</v>
      </c>
      <c r="AG39" s="3" t="s">
        <v>86</v>
      </c>
      <c r="AH39" s="3"/>
      <c r="AI39" s="3" t="s">
        <v>86</v>
      </c>
      <c r="AJ39" s="48"/>
      <c r="AK39" s="49"/>
      <c r="AL39" s="457" t="s">
        <v>86</v>
      </c>
      <c r="AM39" s="458"/>
      <c r="AN39" s="458"/>
      <c r="AO39" s="474"/>
      <c r="AP39" s="457" t="s">
        <v>86</v>
      </c>
      <c r="AQ39" s="458"/>
      <c r="AR39" s="458"/>
      <c r="AS39" s="458"/>
      <c r="AT39" s="473"/>
    </row>
    <row r="40" spans="2:46" ht="15" hidden="1" customHeight="1" outlineLevel="1" x14ac:dyDescent="0.25">
      <c r="B40" s="84" t="s">
        <v>14</v>
      </c>
      <c r="C40" s="248"/>
      <c r="D40" s="273" t="s">
        <v>86</v>
      </c>
      <c r="E40" s="3" t="s">
        <v>86</v>
      </c>
      <c r="F40" s="3" t="s">
        <v>86</v>
      </c>
      <c r="G40" s="3" t="s">
        <v>86</v>
      </c>
      <c r="H40" s="3" t="s">
        <v>86</v>
      </c>
      <c r="I40" s="3" t="s">
        <v>86</v>
      </c>
      <c r="J40" s="3" t="s">
        <v>86</v>
      </c>
      <c r="K40" s="160" t="s">
        <v>86</v>
      </c>
      <c r="L40" s="3" t="s">
        <v>86</v>
      </c>
      <c r="M40" s="3"/>
      <c r="N40" s="3" t="s">
        <v>86</v>
      </c>
      <c r="O40" s="3" t="s">
        <v>86</v>
      </c>
      <c r="P40" s="3" t="s">
        <v>86</v>
      </c>
      <c r="Q40" s="3" t="s">
        <v>86</v>
      </c>
      <c r="R40" s="457" t="s">
        <v>86</v>
      </c>
      <c r="S40" s="458"/>
      <c r="T40" s="474"/>
      <c r="U40" s="3" t="s">
        <v>86</v>
      </c>
      <c r="V40" s="49"/>
      <c r="W40" s="49"/>
      <c r="X40" s="3" t="s">
        <v>86</v>
      </c>
      <c r="Y40" s="3" t="s">
        <v>86</v>
      </c>
      <c r="Z40" s="49"/>
      <c r="AA40" s="3" t="s">
        <v>86</v>
      </c>
      <c r="AB40" s="160"/>
      <c r="AC40" s="160"/>
      <c r="AD40" s="457" t="s">
        <v>86</v>
      </c>
      <c r="AE40" s="474"/>
      <c r="AF40" s="159" t="s">
        <v>84</v>
      </c>
      <c r="AG40" s="3" t="s">
        <v>86</v>
      </c>
      <c r="AH40" s="3"/>
      <c r="AI40" s="3" t="s">
        <v>86</v>
      </c>
      <c r="AJ40" s="48"/>
      <c r="AK40" s="49"/>
      <c r="AL40" s="457" t="s">
        <v>86</v>
      </c>
      <c r="AM40" s="458"/>
      <c r="AN40" s="458"/>
      <c r="AO40" s="474"/>
      <c r="AP40" s="457" t="s">
        <v>86</v>
      </c>
      <c r="AQ40" s="458"/>
      <c r="AR40" s="458"/>
      <c r="AS40" s="458"/>
      <c r="AT40" s="473"/>
    </row>
    <row r="41" spans="2:46" ht="15" hidden="1" customHeight="1" outlineLevel="1" x14ac:dyDescent="0.25">
      <c r="B41" s="84" t="s">
        <v>15</v>
      </c>
      <c r="C41" s="248"/>
      <c r="D41" s="273" t="s">
        <v>86</v>
      </c>
      <c r="E41" s="3" t="s">
        <v>86</v>
      </c>
      <c r="F41" s="3" t="s">
        <v>86</v>
      </c>
      <c r="G41" s="3" t="s">
        <v>86</v>
      </c>
      <c r="H41" s="3" t="s">
        <v>86</v>
      </c>
      <c r="I41" s="3" t="s">
        <v>86</v>
      </c>
      <c r="J41" s="3" t="s">
        <v>86</v>
      </c>
      <c r="K41" s="160" t="s">
        <v>86</v>
      </c>
      <c r="L41" s="3" t="s">
        <v>86</v>
      </c>
      <c r="M41" s="3"/>
      <c r="N41" s="3" t="s">
        <v>86</v>
      </c>
      <c r="O41" s="3" t="s">
        <v>86</v>
      </c>
      <c r="P41" s="3" t="s">
        <v>86</v>
      </c>
      <c r="Q41" s="3" t="s">
        <v>86</v>
      </c>
      <c r="R41" s="457" t="s">
        <v>86</v>
      </c>
      <c r="S41" s="458"/>
      <c r="T41" s="474"/>
      <c r="U41" s="3" t="s">
        <v>86</v>
      </c>
      <c r="V41" s="49"/>
      <c r="W41" s="49"/>
      <c r="X41" s="3" t="s">
        <v>86</v>
      </c>
      <c r="Y41" s="3" t="s">
        <v>86</v>
      </c>
      <c r="Z41" s="49"/>
      <c r="AA41" s="3" t="s">
        <v>86</v>
      </c>
      <c r="AB41" s="160"/>
      <c r="AC41" s="160"/>
      <c r="AD41" s="457" t="s">
        <v>86</v>
      </c>
      <c r="AE41" s="474"/>
      <c r="AF41" s="3" t="s">
        <v>86</v>
      </c>
      <c r="AG41" s="159" t="s">
        <v>84</v>
      </c>
      <c r="AH41" s="159"/>
      <c r="AI41" s="3" t="s">
        <v>86</v>
      </c>
      <c r="AJ41" s="48"/>
      <c r="AK41" s="49"/>
      <c r="AL41" s="457" t="s">
        <v>86</v>
      </c>
      <c r="AM41" s="458"/>
      <c r="AN41" s="458"/>
      <c r="AO41" s="474"/>
      <c r="AP41" s="457" t="s">
        <v>86</v>
      </c>
      <c r="AQ41" s="458"/>
      <c r="AR41" s="458"/>
      <c r="AS41" s="458"/>
      <c r="AT41" s="473"/>
    </row>
    <row r="42" spans="2:46" ht="15" hidden="1" customHeight="1" outlineLevel="1" x14ac:dyDescent="0.25">
      <c r="B42" s="84" t="s">
        <v>16</v>
      </c>
      <c r="C42" s="248"/>
      <c r="D42" s="273" t="s">
        <v>86</v>
      </c>
      <c r="E42" s="3" t="s">
        <v>86</v>
      </c>
      <c r="F42" s="3" t="s">
        <v>86</v>
      </c>
      <c r="G42" s="3" t="s">
        <v>86</v>
      </c>
      <c r="H42" s="3" t="s">
        <v>86</v>
      </c>
      <c r="I42" s="3" t="s">
        <v>86</v>
      </c>
      <c r="J42" s="3" t="s">
        <v>86</v>
      </c>
      <c r="K42" s="160" t="s">
        <v>86</v>
      </c>
      <c r="L42" s="3" t="s">
        <v>86</v>
      </c>
      <c r="M42" s="3"/>
      <c r="N42" s="3" t="s">
        <v>86</v>
      </c>
      <c r="O42" s="3" t="s">
        <v>86</v>
      </c>
      <c r="P42" s="3" t="s">
        <v>86</v>
      </c>
      <c r="Q42" s="3" t="s">
        <v>86</v>
      </c>
      <c r="R42" s="457" t="s">
        <v>86</v>
      </c>
      <c r="S42" s="458"/>
      <c r="T42" s="474"/>
      <c r="U42" s="3" t="s">
        <v>86</v>
      </c>
      <c r="V42" s="49"/>
      <c r="W42" s="49"/>
      <c r="X42" s="3" t="s">
        <v>86</v>
      </c>
      <c r="Y42" s="3" t="s">
        <v>86</v>
      </c>
      <c r="Z42" s="49"/>
      <c r="AA42" s="3" t="s">
        <v>86</v>
      </c>
      <c r="AB42" s="160"/>
      <c r="AC42" s="160"/>
      <c r="AD42" s="457" t="s">
        <v>86</v>
      </c>
      <c r="AE42" s="474"/>
      <c r="AF42" s="3" t="s">
        <v>86</v>
      </c>
      <c r="AG42" s="3" t="s">
        <v>86</v>
      </c>
      <c r="AH42" s="3"/>
      <c r="AI42" s="159" t="s">
        <v>84</v>
      </c>
      <c r="AJ42" s="48"/>
      <c r="AK42" s="49"/>
      <c r="AL42" s="457" t="s">
        <v>86</v>
      </c>
      <c r="AM42" s="458"/>
      <c r="AN42" s="458"/>
      <c r="AO42" s="474"/>
      <c r="AP42" s="457" t="s">
        <v>86</v>
      </c>
      <c r="AQ42" s="458"/>
      <c r="AR42" s="458"/>
      <c r="AS42" s="458"/>
      <c r="AT42" s="473"/>
    </row>
    <row r="43" spans="2:46" ht="15" hidden="1" customHeight="1" outlineLevel="1" x14ac:dyDescent="0.25">
      <c r="B43" s="84" t="s">
        <v>18</v>
      </c>
      <c r="C43" s="248"/>
      <c r="D43" s="273" t="s">
        <v>86</v>
      </c>
      <c r="E43" s="3" t="s">
        <v>86</v>
      </c>
      <c r="F43" s="3" t="s">
        <v>86</v>
      </c>
      <c r="G43" s="3" t="s">
        <v>86</v>
      </c>
      <c r="H43" s="3" t="s">
        <v>86</v>
      </c>
      <c r="I43" s="3" t="s">
        <v>86</v>
      </c>
      <c r="J43" s="3" t="s">
        <v>86</v>
      </c>
      <c r="K43" s="160" t="s">
        <v>86</v>
      </c>
      <c r="L43" s="3" t="s">
        <v>86</v>
      </c>
      <c r="M43" s="3"/>
      <c r="N43" s="3" t="s">
        <v>86</v>
      </c>
      <c r="O43" s="3" t="s">
        <v>86</v>
      </c>
      <c r="P43" s="3" t="s">
        <v>86</v>
      </c>
      <c r="Q43" s="3" t="s">
        <v>86</v>
      </c>
      <c r="R43" s="457" t="s">
        <v>86</v>
      </c>
      <c r="S43" s="458"/>
      <c r="T43" s="474"/>
      <c r="U43" s="3" t="s">
        <v>86</v>
      </c>
      <c r="V43" s="49"/>
      <c r="W43" s="49"/>
      <c r="X43" s="3" t="s">
        <v>86</v>
      </c>
      <c r="Y43" s="3" t="s">
        <v>86</v>
      </c>
      <c r="Z43" s="49"/>
      <c r="AA43" s="3" t="s">
        <v>86</v>
      </c>
      <c r="AB43" s="160"/>
      <c r="AC43" s="160"/>
      <c r="AD43" s="457" t="s">
        <v>86</v>
      </c>
      <c r="AE43" s="474"/>
      <c r="AF43" s="3" t="s">
        <v>86</v>
      </c>
      <c r="AG43" s="3" t="s">
        <v>86</v>
      </c>
      <c r="AH43" s="3"/>
      <c r="AI43" s="3" t="s">
        <v>86</v>
      </c>
      <c r="AJ43" s="48"/>
      <c r="AK43" s="49"/>
      <c r="AL43" s="463" t="s">
        <v>84</v>
      </c>
      <c r="AM43" s="465"/>
      <c r="AN43" s="465"/>
      <c r="AO43" s="464"/>
      <c r="AP43" s="457" t="s">
        <v>86</v>
      </c>
      <c r="AQ43" s="458"/>
      <c r="AR43" s="458"/>
      <c r="AS43" s="458"/>
      <c r="AT43" s="473"/>
    </row>
    <row r="44" spans="2:46" ht="15.75" hidden="1" customHeight="1" outlineLevel="1" thickBot="1" x14ac:dyDescent="0.3">
      <c r="B44" s="86" t="s">
        <v>19</v>
      </c>
      <c r="C44" s="251"/>
      <c r="D44" s="274" t="s">
        <v>86</v>
      </c>
      <c r="E44" s="87" t="s">
        <v>86</v>
      </c>
      <c r="F44" s="87" t="s">
        <v>86</v>
      </c>
      <c r="G44" s="87" t="s">
        <v>86</v>
      </c>
      <c r="H44" s="87" t="s">
        <v>86</v>
      </c>
      <c r="I44" s="87" t="s">
        <v>86</v>
      </c>
      <c r="J44" s="87" t="s">
        <v>86</v>
      </c>
      <c r="K44" s="166" t="s">
        <v>86</v>
      </c>
      <c r="L44" s="87" t="s">
        <v>86</v>
      </c>
      <c r="M44" s="87"/>
      <c r="N44" s="87" t="s">
        <v>86</v>
      </c>
      <c r="O44" s="87" t="s">
        <v>86</v>
      </c>
      <c r="P44" s="87" t="s">
        <v>86</v>
      </c>
      <c r="Q44" s="87" t="s">
        <v>86</v>
      </c>
      <c r="R44" s="506" t="s">
        <v>86</v>
      </c>
      <c r="S44" s="591"/>
      <c r="T44" s="507"/>
      <c r="U44" s="87" t="s">
        <v>86</v>
      </c>
      <c r="V44" s="88"/>
      <c r="W44" s="88"/>
      <c r="X44" s="87" t="s">
        <v>86</v>
      </c>
      <c r="Y44" s="87" t="s">
        <v>86</v>
      </c>
      <c r="Z44" s="88"/>
      <c r="AA44" s="87" t="s">
        <v>86</v>
      </c>
      <c r="AB44" s="166"/>
      <c r="AC44" s="166"/>
      <c r="AD44" s="506" t="s">
        <v>86</v>
      </c>
      <c r="AE44" s="507"/>
      <c r="AF44" s="87" t="s">
        <v>86</v>
      </c>
      <c r="AG44" s="87" t="s">
        <v>86</v>
      </c>
      <c r="AH44" s="87"/>
      <c r="AI44" s="87" t="s">
        <v>86</v>
      </c>
      <c r="AJ44" s="89"/>
      <c r="AK44" s="88"/>
      <c r="AL44" s="506" t="s">
        <v>86</v>
      </c>
      <c r="AM44" s="591"/>
      <c r="AN44" s="591"/>
      <c r="AO44" s="507"/>
      <c r="AP44" s="470" t="s">
        <v>84</v>
      </c>
      <c r="AQ44" s="471"/>
      <c r="AR44" s="471"/>
      <c r="AS44" s="471"/>
      <c r="AT44" s="472"/>
    </row>
    <row r="45" spans="2:46" ht="15.75" hidden="1" collapsed="1" thickBot="1" x14ac:dyDescent="0.3">
      <c r="B45" s="100" t="s">
        <v>160</v>
      </c>
      <c r="C45" s="252"/>
      <c r="D45" s="275"/>
      <c r="E45" s="83"/>
      <c r="F45" s="83"/>
      <c r="G45" s="83"/>
      <c r="H45" s="83"/>
      <c r="I45" s="83"/>
      <c r="J45" s="173"/>
      <c r="K45" s="173"/>
      <c r="L45" s="83"/>
      <c r="M45" s="83"/>
      <c r="N45" s="83"/>
      <c r="O45" s="83"/>
      <c r="P45" s="83"/>
      <c r="Q45" s="83"/>
      <c r="R45" s="500"/>
      <c r="S45" s="586"/>
      <c r="T45" s="501"/>
      <c r="U45" s="83"/>
      <c r="V45" s="83"/>
      <c r="W45" s="83"/>
      <c r="X45" s="83"/>
      <c r="Y45" s="180"/>
      <c r="Z45" s="180"/>
      <c r="AA45" s="83"/>
      <c r="AB45" s="173"/>
      <c r="AC45" s="173"/>
      <c r="AD45" s="500"/>
      <c r="AE45" s="501"/>
      <c r="AF45" s="83"/>
      <c r="AG45" s="83"/>
      <c r="AH45" s="604"/>
      <c r="AI45" s="605"/>
      <c r="AJ45" s="500"/>
      <c r="AK45" s="501"/>
      <c r="AL45" s="500"/>
      <c r="AM45" s="586"/>
      <c r="AN45" s="586"/>
      <c r="AO45" s="501"/>
      <c r="AP45" s="500"/>
      <c r="AQ45" s="586"/>
      <c r="AR45" s="586"/>
      <c r="AS45" s="586"/>
      <c r="AT45" s="593"/>
    </row>
    <row r="46" spans="2:46" hidden="1" x14ac:dyDescent="0.25"/>
    <row r="47" spans="2:46" ht="23.25" x14ac:dyDescent="0.35">
      <c r="C47" s="390" t="s">
        <v>489</v>
      </c>
    </row>
    <row r="48" spans="2:46" x14ac:dyDescent="0.25">
      <c r="B48" s="375" t="s">
        <v>450</v>
      </c>
      <c r="C48" s="375"/>
      <c r="D48" s="393" t="s">
        <v>21</v>
      </c>
      <c r="E48" s="393" t="s">
        <v>21</v>
      </c>
      <c r="F48" s="393" t="s">
        <v>21</v>
      </c>
      <c r="G48" s="399" t="s">
        <v>31</v>
      </c>
      <c r="H48" s="399" t="s">
        <v>31</v>
      </c>
      <c r="I48" s="399" t="s">
        <v>31</v>
      </c>
      <c r="J48" s="399" t="s">
        <v>31</v>
      </c>
      <c r="K48" s="399" t="s">
        <v>31</v>
      </c>
      <c r="L48" s="392" t="s">
        <v>281</v>
      </c>
      <c r="M48" s="392" t="s">
        <v>281</v>
      </c>
      <c r="N48" s="392" t="s">
        <v>281</v>
      </c>
      <c r="O48" s="392" t="s">
        <v>281</v>
      </c>
      <c r="P48" s="392" t="s">
        <v>281</v>
      </c>
      <c r="Q48" s="392" t="s">
        <v>281</v>
      </c>
      <c r="R48" s="394" t="s">
        <v>311</v>
      </c>
      <c r="S48" s="394" t="s">
        <v>311</v>
      </c>
      <c r="T48" s="394" t="s">
        <v>311</v>
      </c>
      <c r="U48" s="394" t="s">
        <v>311</v>
      </c>
      <c r="V48" s="394" t="s">
        <v>311</v>
      </c>
      <c r="W48" s="394" t="s">
        <v>311</v>
      </c>
    </row>
    <row r="49" spans="2:23" x14ac:dyDescent="0.25">
      <c r="B49" s="375" t="s">
        <v>1</v>
      </c>
      <c r="C49" s="375"/>
      <c r="D49" s="388" t="s">
        <v>451</v>
      </c>
      <c r="E49" s="388" t="s">
        <v>452</v>
      </c>
      <c r="F49" s="388" t="s">
        <v>496</v>
      </c>
      <c r="G49" s="388" t="s">
        <v>451</v>
      </c>
      <c r="H49" s="388" t="s">
        <v>457</v>
      </c>
      <c r="I49" s="388" t="s">
        <v>457</v>
      </c>
      <c r="J49" s="388" t="s">
        <v>457</v>
      </c>
      <c r="K49" s="388" t="s">
        <v>387</v>
      </c>
      <c r="L49" s="388" t="s">
        <v>556</v>
      </c>
      <c r="M49" s="388" t="s">
        <v>557</v>
      </c>
      <c r="N49" s="388" t="s">
        <v>14</v>
      </c>
      <c r="O49" s="388" t="s">
        <v>530</v>
      </c>
      <c r="P49" s="388" t="s">
        <v>531</v>
      </c>
      <c r="Q49" s="388" t="s">
        <v>452</v>
      </c>
      <c r="R49" s="388" t="s">
        <v>13</v>
      </c>
      <c r="S49" s="388" t="s">
        <v>14</v>
      </c>
      <c r="T49" s="388" t="s">
        <v>458</v>
      </c>
      <c r="U49" s="388" t="s">
        <v>259</v>
      </c>
      <c r="V49" s="388" t="s">
        <v>18</v>
      </c>
      <c r="W49" s="388" t="s">
        <v>19</v>
      </c>
    </row>
    <row r="50" spans="2:23" x14ac:dyDescent="0.25">
      <c r="B50" s="376" t="s">
        <v>20</v>
      </c>
      <c r="C50" s="376"/>
      <c r="D50" s="389" t="s">
        <v>454</v>
      </c>
      <c r="E50" s="389" t="s">
        <v>474</v>
      </c>
      <c r="F50" s="389" t="s">
        <v>495</v>
      </c>
      <c r="G50" s="389" t="s">
        <v>456</v>
      </c>
      <c r="H50" s="389" t="s">
        <v>453</v>
      </c>
      <c r="I50" s="389" t="s">
        <v>25</v>
      </c>
      <c r="J50" s="389" t="s">
        <v>24</v>
      </c>
      <c r="K50" s="389" t="s">
        <v>207</v>
      </c>
      <c r="L50" s="389" t="s">
        <v>518</v>
      </c>
      <c r="M50" s="389" t="s">
        <v>524</v>
      </c>
      <c r="N50" s="389" t="s">
        <v>282</v>
      </c>
      <c r="O50" s="389" t="s">
        <v>34</v>
      </c>
      <c r="P50" s="389" t="s">
        <v>34</v>
      </c>
      <c r="Q50" s="389" t="s">
        <v>463</v>
      </c>
      <c r="R50" s="389" t="s">
        <v>475</v>
      </c>
      <c r="S50" s="389" t="s">
        <v>36</v>
      </c>
      <c r="T50" s="389" t="s">
        <v>311</v>
      </c>
      <c r="U50" s="389" t="s">
        <v>38</v>
      </c>
      <c r="V50" s="389" t="s">
        <v>476</v>
      </c>
      <c r="W50" s="389" t="s">
        <v>477</v>
      </c>
    </row>
    <row r="51" spans="2:23" ht="30" x14ac:dyDescent="0.25">
      <c r="B51" s="376" t="s">
        <v>42</v>
      </c>
      <c r="C51" s="376"/>
      <c r="D51" s="369"/>
      <c r="E51" s="369" t="s">
        <v>43</v>
      </c>
      <c r="F51" s="369" t="s">
        <v>439</v>
      </c>
      <c r="G51" s="369" t="s">
        <v>539</v>
      </c>
      <c r="H51" s="417" t="s">
        <v>541</v>
      </c>
      <c r="I51" s="369" t="s">
        <v>547</v>
      </c>
      <c r="J51" s="369" t="s">
        <v>501</v>
      </c>
      <c r="K51" s="369" t="s">
        <v>499</v>
      </c>
      <c r="L51" s="369"/>
      <c r="M51" s="369" t="s">
        <v>526</v>
      </c>
      <c r="N51" s="369"/>
      <c r="O51" s="369" t="s">
        <v>430</v>
      </c>
      <c r="P51" s="369"/>
      <c r="Q51" s="369"/>
      <c r="R51" s="369"/>
      <c r="S51" s="369"/>
      <c r="T51" s="369"/>
      <c r="U51" s="369"/>
      <c r="V51" s="369"/>
      <c r="W51" s="369"/>
    </row>
    <row r="52" spans="2:23" ht="15.75" thickBot="1" x14ac:dyDescent="0.3">
      <c r="B52" s="376" t="s">
        <v>497</v>
      </c>
      <c r="C52" s="376"/>
      <c r="D52" s="407"/>
      <c r="E52" s="408" t="s">
        <v>63</v>
      </c>
      <c r="F52" s="408" t="s">
        <v>440</v>
      </c>
      <c r="G52" s="415" t="s">
        <v>500</v>
      </c>
      <c r="H52" s="418" t="s">
        <v>542</v>
      </c>
      <c r="I52" s="415" t="s">
        <v>545</v>
      </c>
      <c r="J52" s="415" t="s">
        <v>502</v>
      </c>
      <c r="K52" s="415" t="s">
        <v>498</v>
      </c>
      <c r="L52" s="369"/>
      <c r="M52" s="415" t="s">
        <v>525</v>
      </c>
      <c r="N52" s="415" t="s">
        <v>504</v>
      </c>
      <c r="O52" s="415" t="s">
        <v>431</v>
      </c>
      <c r="P52" s="369"/>
      <c r="Q52" s="415" t="s">
        <v>505</v>
      </c>
      <c r="R52" s="415" t="s">
        <v>509</v>
      </c>
      <c r="S52" s="415" t="s">
        <v>508</v>
      </c>
      <c r="T52" s="369"/>
      <c r="U52" s="369"/>
      <c r="V52" s="369"/>
      <c r="W52" s="369"/>
    </row>
    <row r="53" spans="2:23" x14ac:dyDescent="0.25">
      <c r="B53" s="630" t="s">
        <v>82</v>
      </c>
      <c r="C53" s="376" t="s">
        <v>83</v>
      </c>
      <c r="D53" s="159" t="s">
        <v>84</v>
      </c>
      <c r="E53" s="159" t="s">
        <v>84</v>
      </c>
      <c r="F53" s="159" t="s">
        <v>84</v>
      </c>
      <c r="G53" s="3" t="s">
        <v>86</v>
      </c>
      <c r="H53" s="159" t="s">
        <v>84</v>
      </c>
      <c r="I53" s="159" t="s">
        <v>84</v>
      </c>
      <c r="J53" s="159" t="s">
        <v>84</v>
      </c>
      <c r="K53" s="3" t="s">
        <v>86</v>
      </c>
      <c r="L53" s="159" t="s">
        <v>84</v>
      </c>
      <c r="M53" s="159" t="s">
        <v>84</v>
      </c>
      <c r="N53" s="159" t="s">
        <v>84</v>
      </c>
      <c r="O53" s="159" t="s">
        <v>84</v>
      </c>
      <c r="P53" s="159" t="s">
        <v>84</v>
      </c>
      <c r="Q53" s="159" t="s">
        <v>84</v>
      </c>
      <c r="R53" s="159" t="s">
        <v>506</v>
      </c>
      <c r="S53" s="419" t="s">
        <v>507</v>
      </c>
      <c r="T53" s="419" t="s">
        <v>507</v>
      </c>
      <c r="U53" s="419" t="s">
        <v>507</v>
      </c>
      <c r="V53" s="419" t="s">
        <v>507</v>
      </c>
      <c r="W53" s="419" t="s">
        <v>507</v>
      </c>
    </row>
    <row r="54" spans="2:23" ht="18.75" x14ac:dyDescent="0.25">
      <c r="B54" s="631"/>
      <c r="C54" s="376" t="s">
        <v>90</v>
      </c>
      <c r="D54" s="3" t="s">
        <v>86</v>
      </c>
      <c r="E54" s="3" t="s">
        <v>86</v>
      </c>
      <c r="F54" s="159" t="s">
        <v>84</v>
      </c>
      <c r="G54" s="14" t="s">
        <v>85</v>
      </c>
      <c r="H54" s="159" t="s">
        <v>84</v>
      </c>
      <c r="I54" s="14" t="s">
        <v>85</v>
      </c>
      <c r="J54" s="14" t="s">
        <v>85</v>
      </c>
      <c r="K54" s="14" t="s">
        <v>85</v>
      </c>
      <c r="L54" s="14" t="s">
        <v>85</v>
      </c>
      <c r="M54" s="159" t="s">
        <v>84</v>
      </c>
      <c r="N54" s="159" t="s">
        <v>84</v>
      </c>
      <c r="O54" s="159" t="s">
        <v>84</v>
      </c>
      <c r="P54" s="159" t="s">
        <v>84</v>
      </c>
      <c r="Q54" s="14" t="s">
        <v>85</v>
      </c>
      <c r="R54" s="159" t="s">
        <v>506</v>
      </c>
      <c r="S54" s="419" t="s">
        <v>507</v>
      </c>
      <c r="T54" s="419" t="s">
        <v>507</v>
      </c>
      <c r="U54" s="419" t="s">
        <v>507</v>
      </c>
      <c r="V54" s="419" t="s">
        <v>507</v>
      </c>
      <c r="W54" s="419" t="s">
        <v>507</v>
      </c>
    </row>
    <row r="55" spans="2:23" ht="18.75" x14ac:dyDescent="0.25">
      <c r="B55" s="631"/>
      <c r="C55" s="377" t="s">
        <v>91</v>
      </c>
      <c r="D55" s="14" t="s">
        <v>85</v>
      </c>
      <c r="E55" s="3" t="s">
        <v>86</v>
      </c>
      <c r="F55" s="159" t="s">
        <v>84</v>
      </c>
      <c r="G55" s="14" t="s">
        <v>85</v>
      </c>
      <c r="H55" s="159" t="s">
        <v>84</v>
      </c>
      <c r="I55" s="14" t="s">
        <v>85</v>
      </c>
      <c r="J55" s="14" t="s">
        <v>85</v>
      </c>
      <c r="K55" s="14" t="s">
        <v>85</v>
      </c>
      <c r="L55" s="14" t="s">
        <v>85</v>
      </c>
      <c r="M55" s="159" t="s">
        <v>84</v>
      </c>
      <c r="N55" s="159" t="s">
        <v>84</v>
      </c>
      <c r="O55" s="159" t="s">
        <v>84</v>
      </c>
      <c r="P55" s="159" t="s">
        <v>84</v>
      </c>
      <c r="Q55" s="14" t="s">
        <v>85</v>
      </c>
      <c r="R55" s="159" t="s">
        <v>506</v>
      </c>
      <c r="S55" s="419" t="s">
        <v>507</v>
      </c>
      <c r="T55" s="419" t="s">
        <v>507</v>
      </c>
      <c r="U55" s="419" t="s">
        <v>507</v>
      </c>
      <c r="V55" s="419" t="s">
        <v>507</v>
      </c>
      <c r="W55" s="419" t="s">
        <v>507</v>
      </c>
    </row>
    <row r="56" spans="2:23" ht="18.75" x14ac:dyDescent="0.25">
      <c r="B56" s="631"/>
      <c r="C56" s="376" t="s">
        <v>92</v>
      </c>
      <c r="D56" s="14" t="s">
        <v>85</v>
      </c>
      <c r="E56" s="3" t="s">
        <v>86</v>
      </c>
      <c r="F56" s="3" t="s">
        <v>86</v>
      </c>
      <c r="G56" s="14" t="s">
        <v>85</v>
      </c>
      <c r="H56" s="3" t="s">
        <v>86</v>
      </c>
      <c r="I56" s="3" t="s">
        <v>86</v>
      </c>
      <c r="J56" s="3" t="s">
        <v>86</v>
      </c>
      <c r="K56" s="14" t="s">
        <v>85</v>
      </c>
      <c r="L56" s="3" t="s">
        <v>86</v>
      </c>
      <c r="M56" s="159" t="s">
        <v>84</v>
      </c>
      <c r="N56" s="159" t="s">
        <v>84</v>
      </c>
      <c r="O56" s="159" t="s">
        <v>84</v>
      </c>
      <c r="P56" s="159" t="s">
        <v>84</v>
      </c>
      <c r="Q56" s="3" t="s">
        <v>86</v>
      </c>
      <c r="R56" s="159" t="s">
        <v>506</v>
      </c>
      <c r="S56" s="419" t="s">
        <v>507</v>
      </c>
      <c r="T56" s="419" t="s">
        <v>507</v>
      </c>
      <c r="U56" s="419" t="s">
        <v>507</v>
      </c>
      <c r="V56" s="419" t="s">
        <v>507</v>
      </c>
      <c r="W56" s="419" t="s">
        <v>507</v>
      </c>
    </row>
    <row r="57" spans="2:23" ht="18.75" x14ac:dyDescent="0.25">
      <c r="B57" s="632"/>
      <c r="C57" s="376" t="s">
        <v>503</v>
      </c>
      <c r="D57" s="14" t="s">
        <v>85</v>
      </c>
      <c r="E57" s="3" t="s">
        <v>86</v>
      </c>
      <c r="F57" s="159" t="s">
        <v>84</v>
      </c>
      <c r="G57" s="159" t="s">
        <v>84</v>
      </c>
      <c r="H57" s="159" t="s">
        <v>84</v>
      </c>
      <c r="I57" s="159" t="s">
        <v>84</v>
      </c>
      <c r="J57" s="159" t="s">
        <v>84</v>
      </c>
      <c r="K57" s="159" t="s">
        <v>84</v>
      </c>
      <c r="L57" s="3" t="s">
        <v>86</v>
      </c>
      <c r="M57" s="159" t="s">
        <v>84</v>
      </c>
      <c r="N57" s="159" t="s">
        <v>84</v>
      </c>
      <c r="O57" s="159" t="s">
        <v>84</v>
      </c>
      <c r="P57" s="159" t="s">
        <v>84</v>
      </c>
      <c r="Q57" s="3" t="s">
        <v>86</v>
      </c>
      <c r="R57" s="159" t="s">
        <v>506</v>
      </c>
      <c r="S57" s="419" t="s">
        <v>507</v>
      </c>
      <c r="T57" s="419" t="s">
        <v>507</v>
      </c>
      <c r="U57" s="419" t="s">
        <v>507</v>
      </c>
      <c r="V57" s="419" t="s">
        <v>507</v>
      </c>
      <c r="W57" s="419" t="s">
        <v>507</v>
      </c>
    </row>
    <row r="58" spans="2:23" x14ac:dyDescent="0.25">
      <c r="B58" s="376" t="s">
        <v>102</v>
      </c>
      <c r="C58" s="376"/>
      <c r="D58" s="402">
        <v>5000</v>
      </c>
      <c r="E58" s="402">
        <v>5000</v>
      </c>
      <c r="F58" s="402">
        <v>20000</v>
      </c>
      <c r="G58" s="402">
        <v>20000</v>
      </c>
      <c r="H58" s="402">
        <v>50000</v>
      </c>
      <c r="I58" s="402">
        <v>200000</v>
      </c>
      <c r="J58" s="402">
        <v>20000</v>
      </c>
      <c r="K58" s="402">
        <v>50000</v>
      </c>
      <c r="L58" s="402">
        <v>5000</v>
      </c>
      <c r="M58" s="402">
        <v>5000</v>
      </c>
      <c r="N58" s="402">
        <v>5000</v>
      </c>
      <c r="O58" s="402">
        <v>5000</v>
      </c>
      <c r="P58" s="402">
        <v>20000</v>
      </c>
      <c r="Q58" s="402">
        <v>20000</v>
      </c>
      <c r="R58" s="402">
        <v>20000</v>
      </c>
      <c r="S58" s="402">
        <v>50000</v>
      </c>
      <c r="T58" s="402">
        <v>200000</v>
      </c>
      <c r="U58" s="402">
        <v>50000</v>
      </c>
      <c r="V58" s="402">
        <v>50000</v>
      </c>
      <c r="W58" s="402">
        <v>50000</v>
      </c>
    </row>
    <row r="59" spans="2:23" x14ac:dyDescent="0.25">
      <c r="B59" s="376" t="s">
        <v>513</v>
      </c>
      <c r="C59" s="376"/>
      <c r="D59" s="403">
        <f t="shared" ref="D59:W59" si="8">SQRT((D58/$E$98)/(PI()/4))</f>
        <v>12.856684837922458</v>
      </c>
      <c r="E59" s="403">
        <f t="shared" si="8"/>
        <v>12.856684837922458</v>
      </c>
      <c r="F59" s="403">
        <f t="shared" si="8"/>
        <v>25.713369675844916</v>
      </c>
      <c r="G59" s="403">
        <f t="shared" si="8"/>
        <v>25.713369675844916</v>
      </c>
      <c r="H59" s="403">
        <f t="shared" si="8"/>
        <v>40.656407246787708</v>
      </c>
      <c r="I59" s="403">
        <f t="shared" si="8"/>
        <v>81.312814493575416</v>
      </c>
      <c r="J59" s="403">
        <f t="shared" si="8"/>
        <v>25.713369675844916</v>
      </c>
      <c r="K59" s="403">
        <f t="shared" si="8"/>
        <v>40.656407246787708</v>
      </c>
      <c r="L59" s="403">
        <f t="shared" si="8"/>
        <v>12.856684837922458</v>
      </c>
      <c r="M59" s="403">
        <f t="shared" si="8"/>
        <v>12.856684837922458</v>
      </c>
      <c r="N59" s="403">
        <f t="shared" si="8"/>
        <v>12.856684837922458</v>
      </c>
      <c r="O59" s="403">
        <f t="shared" si="8"/>
        <v>12.856684837922458</v>
      </c>
      <c r="P59" s="403">
        <f t="shared" si="8"/>
        <v>25.713369675844916</v>
      </c>
      <c r="Q59" s="403">
        <f t="shared" si="8"/>
        <v>25.713369675844916</v>
      </c>
      <c r="R59" s="403">
        <f t="shared" si="8"/>
        <v>25.713369675844916</v>
      </c>
      <c r="S59" s="403">
        <f t="shared" si="8"/>
        <v>40.656407246787708</v>
      </c>
      <c r="T59" s="403">
        <f t="shared" si="8"/>
        <v>81.312814493575416</v>
      </c>
      <c r="U59" s="403">
        <f t="shared" si="8"/>
        <v>40.656407246787708</v>
      </c>
      <c r="V59" s="403">
        <f t="shared" si="8"/>
        <v>40.656407246787708</v>
      </c>
      <c r="W59" s="403">
        <f t="shared" si="8"/>
        <v>40.656407246787708</v>
      </c>
    </row>
    <row r="60" spans="2:23" x14ac:dyDescent="0.25">
      <c r="B60" s="378" t="s">
        <v>104</v>
      </c>
      <c r="C60" s="378"/>
      <c r="D60" s="369">
        <v>9</v>
      </c>
      <c r="E60" s="369">
        <v>7</v>
      </c>
      <c r="F60" s="369">
        <v>2</v>
      </c>
      <c r="G60" s="369">
        <v>8</v>
      </c>
      <c r="H60" s="369">
        <v>9</v>
      </c>
      <c r="I60" s="369">
        <v>7</v>
      </c>
      <c r="J60" s="369">
        <v>9</v>
      </c>
      <c r="K60" s="369">
        <v>9</v>
      </c>
      <c r="L60" s="369">
        <v>9</v>
      </c>
      <c r="M60" s="369">
        <v>7</v>
      </c>
      <c r="N60" s="369">
        <v>8</v>
      </c>
      <c r="O60" s="369">
        <v>8</v>
      </c>
      <c r="P60" s="369">
        <v>9</v>
      </c>
      <c r="Q60" s="369">
        <v>7</v>
      </c>
      <c r="R60" s="369">
        <v>7</v>
      </c>
      <c r="S60" s="369">
        <v>5</v>
      </c>
      <c r="T60" s="369">
        <v>9</v>
      </c>
      <c r="U60" s="369">
        <v>7</v>
      </c>
      <c r="V60" s="369">
        <v>8</v>
      </c>
      <c r="W60" s="369">
        <v>5</v>
      </c>
    </row>
    <row r="61" spans="2:23" x14ac:dyDescent="0.25">
      <c r="B61" s="633" t="s">
        <v>529</v>
      </c>
      <c r="C61" s="378" t="s">
        <v>527</v>
      </c>
      <c r="D61" s="435" t="s">
        <v>298</v>
      </c>
      <c r="E61" s="369" t="s">
        <v>298</v>
      </c>
      <c r="F61" s="369" t="s">
        <v>298</v>
      </c>
      <c r="G61" s="369" t="s">
        <v>298</v>
      </c>
      <c r="H61" s="369" t="s">
        <v>298</v>
      </c>
      <c r="I61" s="369" t="s">
        <v>298</v>
      </c>
      <c r="J61" s="369" t="s">
        <v>298</v>
      </c>
      <c r="K61" s="369" t="s">
        <v>298</v>
      </c>
      <c r="L61" s="369" t="s">
        <v>298</v>
      </c>
      <c r="M61" s="369" t="s">
        <v>298</v>
      </c>
      <c r="N61" s="369" t="s">
        <v>298</v>
      </c>
      <c r="O61" s="369" t="s">
        <v>298</v>
      </c>
      <c r="P61" s="369" t="s">
        <v>295</v>
      </c>
      <c r="Q61" s="369" t="s">
        <v>298</v>
      </c>
      <c r="R61" s="369" t="s">
        <v>295</v>
      </c>
      <c r="S61" s="369" t="s">
        <v>295</v>
      </c>
      <c r="T61" s="369" t="s">
        <v>295</v>
      </c>
      <c r="U61" s="369" t="s">
        <v>295</v>
      </c>
      <c r="V61" s="369" t="s">
        <v>295</v>
      </c>
      <c r="W61" s="369" t="s">
        <v>295</v>
      </c>
    </row>
    <row r="62" spans="2:23" x14ac:dyDescent="0.25">
      <c r="B62" s="634"/>
      <c r="C62" s="378" t="s">
        <v>231</v>
      </c>
      <c r="D62" s="435" t="s">
        <v>528</v>
      </c>
      <c r="E62" s="369" t="s">
        <v>528</v>
      </c>
      <c r="F62" s="369" t="s">
        <v>528</v>
      </c>
      <c r="G62" s="369" t="s">
        <v>538</v>
      </c>
      <c r="H62" s="369" t="s">
        <v>538</v>
      </c>
      <c r="I62" s="369" t="s">
        <v>538</v>
      </c>
      <c r="J62" s="369" t="s">
        <v>538</v>
      </c>
      <c r="K62" s="369" t="s">
        <v>538</v>
      </c>
      <c r="L62" s="369" t="s">
        <v>532</v>
      </c>
      <c r="M62" s="369"/>
      <c r="N62" s="369" t="s">
        <v>532</v>
      </c>
      <c r="O62" s="369" t="s">
        <v>532</v>
      </c>
      <c r="P62" s="369" t="s">
        <v>532</v>
      </c>
      <c r="Q62" s="369"/>
      <c r="R62" s="369"/>
      <c r="S62" s="369"/>
      <c r="T62" s="369"/>
      <c r="U62" s="369"/>
      <c r="V62" s="369"/>
      <c r="W62" s="369"/>
    </row>
    <row r="63" spans="2:23" x14ac:dyDescent="0.25">
      <c r="B63" s="629" t="s">
        <v>117</v>
      </c>
      <c r="C63" s="379" t="s">
        <v>490</v>
      </c>
      <c r="D63" s="412" t="s">
        <v>119</v>
      </c>
      <c r="E63" s="404" t="s">
        <v>119</v>
      </c>
      <c r="F63" s="404" t="s">
        <v>119</v>
      </c>
      <c r="G63" s="404" t="s">
        <v>120</v>
      </c>
      <c r="H63" s="404" t="s">
        <v>120</v>
      </c>
      <c r="I63" s="404" t="s">
        <v>120</v>
      </c>
      <c r="J63" s="404" t="s">
        <v>120</v>
      </c>
      <c r="K63" s="404" t="s">
        <v>120</v>
      </c>
      <c r="L63" s="404" t="s">
        <v>120</v>
      </c>
      <c r="M63" s="404" t="s">
        <v>120</v>
      </c>
      <c r="N63" s="404" t="s">
        <v>120</v>
      </c>
      <c r="O63" s="404" t="s">
        <v>120</v>
      </c>
      <c r="P63" s="404" t="s">
        <v>120</v>
      </c>
      <c r="Q63" s="404" t="s">
        <v>120</v>
      </c>
      <c r="R63" s="369"/>
      <c r="S63" s="369"/>
      <c r="T63" s="369"/>
      <c r="U63" s="369"/>
      <c r="V63" s="369"/>
      <c r="W63" s="369"/>
    </row>
    <row r="64" spans="2:23" x14ac:dyDescent="0.25">
      <c r="B64" s="629"/>
      <c r="C64" s="410" t="s">
        <v>122</v>
      </c>
      <c r="D64" s="409">
        <f t="shared" ref="D64:W64" si="9">D68-D66</f>
        <v>-1.0174137546489936</v>
      </c>
      <c r="E64" s="411">
        <f t="shared" si="9"/>
        <v>-1.0174137546489936</v>
      </c>
      <c r="F64" s="409">
        <f t="shared" si="9"/>
        <v>-2.0348275092979873</v>
      </c>
      <c r="G64" s="409">
        <f t="shared" si="9"/>
        <v>-2.0348275092979873</v>
      </c>
      <c r="H64" s="409">
        <f t="shared" si="9"/>
        <v>-3.2173447874745453</v>
      </c>
      <c r="I64" s="409">
        <f t="shared" si="9"/>
        <v>-6.4346895749490907</v>
      </c>
      <c r="J64" s="409">
        <f t="shared" si="9"/>
        <v>-2.0348275092979873</v>
      </c>
      <c r="K64" s="409">
        <f t="shared" si="9"/>
        <v>-3.2173447874745453</v>
      </c>
      <c r="L64" s="409">
        <f t="shared" si="9"/>
        <v>-1.0174137546489936</v>
      </c>
      <c r="M64" s="409"/>
      <c r="N64" s="409">
        <f t="shared" si="9"/>
        <v>-1.0174137546489936</v>
      </c>
      <c r="O64" s="409">
        <f t="shared" si="9"/>
        <v>-1.0174137546489936</v>
      </c>
      <c r="P64" s="409">
        <f>P68-P66</f>
        <v>-2.0348275092979873</v>
      </c>
      <c r="Q64" s="409">
        <f t="shared" si="9"/>
        <v>-2.0348275092979873</v>
      </c>
      <c r="R64" s="409">
        <f t="shared" si="9"/>
        <v>-2.0348275092979873</v>
      </c>
      <c r="S64" s="409">
        <f t="shared" si="9"/>
        <v>-3.2173447874745453</v>
      </c>
      <c r="T64" s="409">
        <f t="shared" si="9"/>
        <v>-6.4346895749490907</v>
      </c>
      <c r="U64" s="409">
        <f t="shared" si="9"/>
        <v>-3.2173447874745453</v>
      </c>
      <c r="V64" s="409">
        <f t="shared" si="9"/>
        <v>-3.2173447874745453</v>
      </c>
      <c r="W64" s="409">
        <f t="shared" si="9"/>
        <v>-3.2173447874745453</v>
      </c>
    </row>
    <row r="65" spans="2:23" x14ac:dyDescent="0.25">
      <c r="B65" s="629"/>
      <c r="C65" s="410" t="s">
        <v>516</v>
      </c>
      <c r="D65" s="427"/>
      <c r="E65" s="428" t="s">
        <v>517</v>
      </c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</row>
    <row r="66" spans="2:23" x14ac:dyDescent="0.25">
      <c r="B66" s="629"/>
      <c r="C66" s="380" t="s">
        <v>123</v>
      </c>
      <c r="D66" s="413">
        <f t="shared" ref="D66:L66" si="10">($E113*D59)/$E114*$E112</f>
        <v>1.0174137546489936</v>
      </c>
      <c r="E66" s="413">
        <f t="shared" si="10"/>
        <v>1.0174137546489936</v>
      </c>
      <c r="F66" s="413">
        <f t="shared" si="10"/>
        <v>2.0348275092979873</v>
      </c>
      <c r="G66" s="413">
        <f t="shared" si="10"/>
        <v>2.0348275092979873</v>
      </c>
      <c r="H66" s="413">
        <f t="shared" si="10"/>
        <v>3.2173447874745453</v>
      </c>
      <c r="I66" s="413">
        <f t="shared" si="10"/>
        <v>6.4346895749490907</v>
      </c>
      <c r="J66" s="413">
        <f t="shared" si="10"/>
        <v>2.0348275092979873</v>
      </c>
      <c r="K66" s="413">
        <f t="shared" si="10"/>
        <v>3.2173447874745453</v>
      </c>
      <c r="L66" s="413">
        <f t="shared" si="10"/>
        <v>1.0174137546489936</v>
      </c>
      <c r="M66" s="413"/>
      <c r="N66" s="413">
        <f t="shared" ref="N66:W66" si="11">($E113*N59)/$E114*$E112</f>
        <v>1.0174137546489936</v>
      </c>
      <c r="O66" s="413">
        <f t="shared" si="11"/>
        <v>1.0174137546489936</v>
      </c>
      <c r="P66" s="413">
        <f t="shared" si="11"/>
        <v>2.0348275092979873</v>
      </c>
      <c r="Q66" s="413">
        <f t="shared" si="11"/>
        <v>2.0348275092979873</v>
      </c>
      <c r="R66" s="413">
        <f t="shared" si="11"/>
        <v>2.0348275092979873</v>
      </c>
      <c r="S66" s="413">
        <f t="shared" si="11"/>
        <v>3.2173447874745453</v>
      </c>
      <c r="T66" s="413">
        <f t="shared" si="11"/>
        <v>6.4346895749490907</v>
      </c>
      <c r="U66" s="413">
        <f t="shared" si="11"/>
        <v>3.2173447874745453</v>
      </c>
      <c r="V66" s="413">
        <f t="shared" si="11"/>
        <v>3.2173447874745453</v>
      </c>
      <c r="W66" s="413">
        <f t="shared" si="11"/>
        <v>3.2173447874745453</v>
      </c>
    </row>
    <row r="67" spans="2:23" x14ac:dyDescent="0.25">
      <c r="B67" s="629"/>
      <c r="C67" s="381" t="s">
        <v>124</v>
      </c>
      <c r="D67" s="369" t="s">
        <v>492</v>
      </c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</row>
    <row r="68" spans="2:23" x14ac:dyDescent="0.25">
      <c r="B68" s="629"/>
      <c r="C68" s="380" t="s">
        <v>123</v>
      </c>
      <c r="D68" s="369">
        <v>0</v>
      </c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</row>
    <row r="69" spans="2:23" x14ac:dyDescent="0.25">
      <c r="B69" s="374" t="s">
        <v>140</v>
      </c>
      <c r="C69" s="374"/>
      <c r="D69" s="405">
        <f>'Bruto toegevoegde waarde'!E10</f>
        <v>115</v>
      </c>
      <c r="E69" s="422">
        <f>'Bruto toegevoegde waarde'!E23</f>
        <v>214.94</v>
      </c>
      <c r="F69" s="436">
        <f>'Bruto toegevoegde waarde'!E33</f>
        <v>379.85</v>
      </c>
      <c r="G69" s="422">
        <f>'Bruto toegevoegde waarde'!E53</f>
        <v>73.650000000000006</v>
      </c>
      <c r="H69" s="422">
        <f>D185</f>
        <v>150</v>
      </c>
      <c r="I69" s="422">
        <f>'Bruto toegevoegde waarde'!E74</f>
        <v>75.150000000000006</v>
      </c>
      <c r="J69" s="422">
        <f>'Bruto toegevoegde waarde'!E85</f>
        <v>67.8</v>
      </c>
      <c r="K69" s="422">
        <f>'Bruto toegevoegde waarde'!E97</f>
        <v>84.55</v>
      </c>
      <c r="L69" s="422">
        <v>30</v>
      </c>
      <c r="M69" s="422">
        <v>100</v>
      </c>
      <c r="N69" s="422">
        <f>'Bruto toegevoegde waarde'!E114</f>
        <v>57</v>
      </c>
      <c r="O69" s="422">
        <f>'Bruto toegevoegde waarde'!E134</f>
        <v>40.35</v>
      </c>
      <c r="P69" s="422">
        <f>'Bruto toegevoegde waarde'!E134</f>
        <v>40.35</v>
      </c>
      <c r="Q69" s="422">
        <f>'Bruto toegevoegde waarde'!E143</f>
        <v>98</v>
      </c>
      <c r="R69" s="422">
        <f>'Bruto toegevoegde waarde'!E154</f>
        <v>167.62250000000003</v>
      </c>
      <c r="S69" s="422">
        <f>'Bruto toegevoegde waarde'!E165</f>
        <v>145.1</v>
      </c>
      <c r="T69" s="422">
        <f>'Bruto toegevoegde waarde'!E175</f>
        <v>83.85</v>
      </c>
      <c r="U69" s="422">
        <f>'Bruto toegevoegde waarde'!E185</f>
        <v>129.6</v>
      </c>
      <c r="V69" s="422">
        <f>'Bruto toegevoegde waarde'!E196</f>
        <v>88.7</v>
      </c>
      <c r="W69" s="422">
        <f>'Bruto toegevoegde waarde'!E206</f>
        <v>92.72</v>
      </c>
    </row>
    <row r="70" spans="2:23" x14ac:dyDescent="0.25">
      <c r="B70" s="374" t="s">
        <v>141</v>
      </c>
      <c r="C70" s="374"/>
      <c r="D70" s="405">
        <f>D59*E142+E144</f>
        <v>55.142673935168986</v>
      </c>
      <c r="E70" s="422">
        <f>E59*$E142+E144+E149+E157</f>
        <v>151.13962961960229</v>
      </c>
      <c r="F70" s="436">
        <f>F59*$E142+E148+E163</f>
        <v>30.083913024927334</v>
      </c>
      <c r="G70" s="422">
        <f>G59*$E142+E148+E149+E154</f>
        <v>32.785347870337965</v>
      </c>
      <c r="H70" s="422">
        <f>H59*$E142+E148+E149+E154+E155+(C203*E141)</f>
        <v>98.183653944165897</v>
      </c>
      <c r="I70" s="422">
        <f>I59*$E142+E155+E148</f>
        <v>92.446216842880972</v>
      </c>
      <c r="J70" s="422">
        <f>J59*$E142+E148+E155</f>
        <v>70.206438915788766</v>
      </c>
      <c r="K70" s="422">
        <f>K59*$E142+E148+E155</f>
        <v>76.183653944165897</v>
      </c>
      <c r="L70" s="422">
        <f>L59*$E142+E148</f>
        <v>12.642673935168983</v>
      </c>
      <c r="M70" s="422">
        <v>60</v>
      </c>
      <c r="N70" s="422">
        <f>N59*$E142+40+E148</f>
        <v>52.642673935168986</v>
      </c>
      <c r="O70" s="422">
        <f>O59*$E142+E148+E143</f>
        <v>37.642673935168986</v>
      </c>
      <c r="P70" s="422">
        <f>P59*$E142+E148+E143</f>
        <v>42.785347870337965</v>
      </c>
      <c r="Q70" s="422">
        <f>Q59*$E142+E148+E155</f>
        <v>70.206438915788766</v>
      </c>
      <c r="R70" s="422">
        <f>R59*$E142+E148+E160</f>
        <v>27.327600749565022</v>
      </c>
      <c r="S70" s="422">
        <f>S59*$E142+E148+E154+E159+E163</f>
        <v>196.06112805330446</v>
      </c>
      <c r="T70" s="422">
        <f>T59*$E142+E166+E150</f>
        <v>136.42962847659771</v>
      </c>
      <c r="U70" s="422">
        <f>U59*$E142+E148+E149+E169+E150</f>
        <v>197.56041627836569</v>
      </c>
      <c r="V70" s="422">
        <f>V59*$E142+E149+E172+E150</f>
        <v>227.18281340396959</v>
      </c>
      <c r="W70" s="422">
        <f>W59*$E142+E149+E175+E150</f>
        <v>227.18281340396959</v>
      </c>
    </row>
    <row r="71" spans="2:23" x14ac:dyDescent="0.25">
      <c r="B71" s="374" t="s">
        <v>143</v>
      </c>
      <c r="C71" s="374"/>
      <c r="D71" s="405">
        <f>D69-D70</f>
        <v>59.857326064831014</v>
      </c>
      <c r="E71" s="405">
        <f t="shared" ref="E71:W71" si="12">E69-E70</f>
        <v>63.800370380397709</v>
      </c>
      <c r="F71" s="437">
        <f t="shared" si="12"/>
        <v>349.76608697507271</v>
      </c>
      <c r="G71" s="405">
        <f t="shared" si="12"/>
        <v>40.864652129662041</v>
      </c>
      <c r="H71" s="405">
        <f t="shared" si="12"/>
        <v>51.816346055834103</v>
      </c>
      <c r="I71" s="405">
        <f>I69-I70</f>
        <v>-17.296216842880966</v>
      </c>
      <c r="J71" s="405">
        <f t="shared" si="12"/>
        <v>-2.4064389157887689</v>
      </c>
      <c r="K71" s="405">
        <f t="shared" si="12"/>
        <v>8.3663460558341001</v>
      </c>
      <c r="L71" s="405">
        <f t="shared" si="12"/>
        <v>17.357326064831017</v>
      </c>
      <c r="M71" s="405">
        <f>M69-M70</f>
        <v>40</v>
      </c>
      <c r="N71" s="405">
        <f t="shared" si="12"/>
        <v>4.3573260648310139</v>
      </c>
      <c r="O71" s="405">
        <f t="shared" si="12"/>
        <v>2.7073260648310153</v>
      </c>
      <c r="P71" s="405">
        <f>P69-P70</f>
        <v>-2.4353478703379636</v>
      </c>
      <c r="Q71" s="405">
        <f t="shared" si="12"/>
        <v>27.793561084211234</v>
      </c>
      <c r="R71" s="405">
        <f t="shared" si="12"/>
        <v>140.29489925043501</v>
      </c>
      <c r="S71" s="405">
        <f t="shared" si="12"/>
        <v>-50.961128053304463</v>
      </c>
      <c r="T71" s="405">
        <f t="shared" si="12"/>
        <v>-52.579628476597719</v>
      </c>
      <c r="U71" s="405">
        <f t="shared" si="12"/>
        <v>-67.960416278365699</v>
      </c>
      <c r="V71" s="405">
        <f t="shared" si="12"/>
        <v>-138.4828134039696</v>
      </c>
      <c r="W71" s="405">
        <f t="shared" si="12"/>
        <v>-134.46281340396959</v>
      </c>
    </row>
    <row r="72" spans="2:23" x14ac:dyDescent="0.25">
      <c r="B72" s="382" t="s">
        <v>146</v>
      </c>
      <c r="C72" s="383"/>
      <c r="D72" s="159" t="s">
        <v>84</v>
      </c>
      <c r="E72" s="159" t="s">
        <v>84</v>
      </c>
      <c r="F72" s="3" t="s">
        <v>86</v>
      </c>
      <c r="G72" s="3" t="s">
        <v>86</v>
      </c>
      <c r="H72" s="3" t="s">
        <v>86</v>
      </c>
      <c r="I72" s="3" t="s">
        <v>86</v>
      </c>
      <c r="J72" s="256" t="s">
        <v>84</v>
      </c>
      <c r="K72" s="3" t="s">
        <v>86</v>
      </c>
      <c r="L72" s="256" t="s">
        <v>84</v>
      </c>
      <c r="M72" s="256" t="s">
        <v>84</v>
      </c>
      <c r="N72" s="3" t="s">
        <v>86</v>
      </c>
      <c r="O72" s="3" t="s">
        <v>86</v>
      </c>
      <c r="P72" s="3" t="s">
        <v>86</v>
      </c>
      <c r="Q72" s="3" t="s">
        <v>86</v>
      </c>
      <c r="R72" s="3" t="s">
        <v>86</v>
      </c>
      <c r="S72" s="3" t="s">
        <v>86</v>
      </c>
      <c r="T72" s="3" t="s">
        <v>86</v>
      </c>
      <c r="U72" s="3" t="s">
        <v>86</v>
      </c>
      <c r="V72" s="3" t="s">
        <v>86</v>
      </c>
      <c r="W72" s="3" t="s">
        <v>86</v>
      </c>
    </row>
    <row r="73" spans="2:23" x14ac:dyDescent="0.25">
      <c r="B73" s="382" t="s">
        <v>147</v>
      </c>
      <c r="C73" s="384"/>
      <c r="D73" s="159" t="s">
        <v>84</v>
      </c>
      <c r="E73" s="159" t="s">
        <v>84</v>
      </c>
      <c r="F73" s="256" t="s">
        <v>84</v>
      </c>
      <c r="G73" s="256" t="s">
        <v>84</v>
      </c>
      <c r="H73" s="256" t="s">
        <v>84</v>
      </c>
      <c r="I73" s="256" t="s">
        <v>84</v>
      </c>
      <c r="J73" s="256" t="s">
        <v>84</v>
      </c>
      <c r="K73" s="256" t="s">
        <v>84</v>
      </c>
      <c r="L73" s="256" t="s">
        <v>84</v>
      </c>
      <c r="M73" s="256" t="s">
        <v>84</v>
      </c>
      <c r="N73" s="256" t="s">
        <v>84</v>
      </c>
      <c r="O73" s="256" t="s">
        <v>84</v>
      </c>
      <c r="P73" s="256" t="s">
        <v>84</v>
      </c>
      <c r="Q73" s="256" t="s">
        <v>84</v>
      </c>
      <c r="R73" s="256" t="s">
        <v>84</v>
      </c>
      <c r="S73" s="256" t="s">
        <v>84</v>
      </c>
      <c r="T73" s="256" t="s">
        <v>84</v>
      </c>
      <c r="U73" s="256" t="s">
        <v>84</v>
      </c>
      <c r="V73" s="256" t="s">
        <v>84</v>
      </c>
      <c r="W73" s="256" t="s">
        <v>84</v>
      </c>
    </row>
    <row r="74" spans="2:23" ht="18.75" x14ac:dyDescent="0.25">
      <c r="B74" s="382" t="s">
        <v>148</v>
      </c>
      <c r="C74" s="384"/>
      <c r="D74" s="14" t="s">
        <v>85</v>
      </c>
      <c r="E74" s="14" t="s">
        <v>85</v>
      </c>
      <c r="F74" s="14" t="s">
        <v>85</v>
      </c>
      <c r="G74" s="14" t="s">
        <v>85</v>
      </c>
      <c r="H74" s="14" t="s">
        <v>85</v>
      </c>
      <c r="I74" s="14" t="s">
        <v>85</v>
      </c>
      <c r="J74" s="14" t="s">
        <v>85</v>
      </c>
      <c r="K74" s="14" t="s">
        <v>85</v>
      </c>
      <c r="L74" s="14" t="s">
        <v>85</v>
      </c>
      <c r="M74" s="14" t="s">
        <v>85</v>
      </c>
      <c r="N74" s="14" t="s">
        <v>85</v>
      </c>
      <c r="O74" s="14" t="s">
        <v>85</v>
      </c>
      <c r="P74" s="14" t="s">
        <v>85</v>
      </c>
      <c r="Q74" s="14" t="s">
        <v>85</v>
      </c>
      <c r="R74" s="14" t="s">
        <v>85</v>
      </c>
      <c r="S74" s="14" t="s">
        <v>85</v>
      </c>
      <c r="T74" s="14" t="s">
        <v>85</v>
      </c>
      <c r="U74" s="14" t="s">
        <v>85</v>
      </c>
      <c r="V74" s="14" t="s">
        <v>85</v>
      </c>
      <c r="W74" s="14" t="s">
        <v>85</v>
      </c>
    </row>
    <row r="75" spans="2:23" x14ac:dyDescent="0.25">
      <c r="B75" s="382" t="s">
        <v>149</v>
      </c>
      <c r="C75" s="383"/>
      <c r="D75" s="3" t="s">
        <v>86</v>
      </c>
      <c r="E75" s="3" t="s">
        <v>86</v>
      </c>
      <c r="F75" s="3" t="s">
        <v>86</v>
      </c>
      <c r="G75" s="3" t="s">
        <v>86</v>
      </c>
      <c r="H75" s="3" t="s">
        <v>86</v>
      </c>
      <c r="I75" s="3" t="s">
        <v>86</v>
      </c>
      <c r="J75" s="3" t="s">
        <v>86</v>
      </c>
      <c r="K75" s="3" t="s">
        <v>86</v>
      </c>
      <c r="L75" s="3" t="s">
        <v>86</v>
      </c>
      <c r="M75" s="3" t="s">
        <v>86</v>
      </c>
      <c r="N75" s="3" t="s">
        <v>86</v>
      </c>
      <c r="O75" s="3" t="s">
        <v>86</v>
      </c>
      <c r="P75" s="3" t="s">
        <v>86</v>
      </c>
      <c r="Q75" s="3" t="s">
        <v>86</v>
      </c>
      <c r="R75" s="3" t="s">
        <v>86</v>
      </c>
      <c r="S75" s="3" t="s">
        <v>86</v>
      </c>
      <c r="T75" s="3" t="s">
        <v>86</v>
      </c>
      <c r="U75" s="3" t="s">
        <v>86</v>
      </c>
      <c r="V75" s="3" t="s">
        <v>86</v>
      </c>
      <c r="W75" s="3" t="s">
        <v>86</v>
      </c>
    </row>
    <row r="76" spans="2:23" x14ac:dyDescent="0.25">
      <c r="B76" s="382" t="s">
        <v>150</v>
      </c>
      <c r="C76" s="383"/>
      <c r="D76" s="3" t="s">
        <v>86</v>
      </c>
      <c r="E76" s="159" t="s">
        <v>84</v>
      </c>
      <c r="F76" s="3" t="s">
        <v>86</v>
      </c>
      <c r="G76" s="3" t="s">
        <v>86</v>
      </c>
      <c r="H76" s="3" t="s">
        <v>86</v>
      </c>
      <c r="I76" s="256" t="s">
        <v>84</v>
      </c>
      <c r="J76" s="256" t="s">
        <v>84</v>
      </c>
      <c r="K76" s="256" t="s">
        <v>84</v>
      </c>
      <c r="L76" s="3" t="s">
        <v>86</v>
      </c>
      <c r="M76" s="3" t="s">
        <v>86</v>
      </c>
      <c r="N76" s="3" t="s">
        <v>86</v>
      </c>
      <c r="O76" s="3" t="s">
        <v>86</v>
      </c>
      <c r="P76" s="3" t="s">
        <v>86</v>
      </c>
      <c r="Q76" s="3" t="s">
        <v>86</v>
      </c>
      <c r="R76" s="3" t="s">
        <v>86</v>
      </c>
      <c r="S76" s="3" t="s">
        <v>86</v>
      </c>
      <c r="T76" s="3" t="s">
        <v>86</v>
      </c>
      <c r="U76" s="3" t="s">
        <v>86</v>
      </c>
      <c r="V76" s="3" t="s">
        <v>86</v>
      </c>
      <c r="W76" s="3" t="s">
        <v>86</v>
      </c>
    </row>
    <row r="77" spans="2:23" x14ac:dyDescent="0.25">
      <c r="B77" s="382" t="s">
        <v>151</v>
      </c>
      <c r="C77" s="383"/>
      <c r="D77" s="159" t="s">
        <v>84</v>
      </c>
      <c r="E77" s="159" t="s">
        <v>84</v>
      </c>
      <c r="F77" s="256" t="s">
        <v>84</v>
      </c>
      <c r="G77" s="256" t="s">
        <v>84</v>
      </c>
      <c r="H77" s="256" t="s">
        <v>84</v>
      </c>
      <c r="I77" s="256" t="s">
        <v>84</v>
      </c>
      <c r="J77" s="256" t="s">
        <v>84</v>
      </c>
      <c r="K77" s="256" t="s">
        <v>84</v>
      </c>
      <c r="L77" s="256" t="s">
        <v>84</v>
      </c>
      <c r="M77" s="256" t="s">
        <v>84</v>
      </c>
      <c r="N77" s="3" t="s">
        <v>86</v>
      </c>
      <c r="O77" s="256" t="s">
        <v>84</v>
      </c>
      <c r="P77" s="256" t="s">
        <v>84</v>
      </c>
      <c r="Q77" s="256" t="s">
        <v>84</v>
      </c>
      <c r="R77" s="256" t="s">
        <v>84</v>
      </c>
      <c r="S77" s="256" t="s">
        <v>84</v>
      </c>
      <c r="T77" s="256" t="s">
        <v>84</v>
      </c>
      <c r="U77" s="256" t="s">
        <v>84</v>
      </c>
      <c r="V77" s="256" t="s">
        <v>84</v>
      </c>
      <c r="W77" s="256" t="s">
        <v>84</v>
      </c>
    </row>
    <row r="78" spans="2:23" x14ac:dyDescent="0.25">
      <c r="B78" s="382" t="s">
        <v>152</v>
      </c>
      <c r="C78" s="383"/>
      <c r="D78" s="3" t="s">
        <v>86</v>
      </c>
      <c r="E78" s="159" t="s">
        <v>84</v>
      </c>
      <c r="F78" s="3" t="s">
        <v>86</v>
      </c>
      <c r="G78" s="256" t="s">
        <v>84</v>
      </c>
      <c r="H78" s="256" t="s">
        <v>84</v>
      </c>
      <c r="I78" s="256" t="s">
        <v>84</v>
      </c>
      <c r="J78" s="256" t="s">
        <v>84</v>
      </c>
      <c r="K78" s="256" t="s">
        <v>84</v>
      </c>
      <c r="L78" s="3" t="s">
        <v>86</v>
      </c>
      <c r="M78" s="3" t="s">
        <v>86</v>
      </c>
      <c r="N78" s="3" t="s">
        <v>86</v>
      </c>
      <c r="O78" s="3" t="s">
        <v>86</v>
      </c>
      <c r="P78" s="3" t="s">
        <v>86</v>
      </c>
      <c r="Q78" s="3" t="s">
        <v>86</v>
      </c>
      <c r="R78" s="3" t="s">
        <v>86</v>
      </c>
      <c r="S78" s="3" t="s">
        <v>86</v>
      </c>
      <c r="T78" s="256" t="s">
        <v>84</v>
      </c>
      <c r="U78" s="256" t="s">
        <v>84</v>
      </c>
      <c r="V78" s="256" t="s">
        <v>84</v>
      </c>
      <c r="W78" s="256" t="s">
        <v>84</v>
      </c>
    </row>
    <row r="79" spans="2:23" x14ac:dyDescent="0.25">
      <c r="B79" s="382" t="s">
        <v>153</v>
      </c>
      <c r="C79" s="383"/>
      <c r="D79" s="3" t="s">
        <v>86</v>
      </c>
      <c r="E79" s="159" t="s">
        <v>84</v>
      </c>
      <c r="F79" s="3" t="s">
        <v>86</v>
      </c>
      <c r="G79" s="159" t="s">
        <v>84</v>
      </c>
      <c r="H79" s="159" t="s">
        <v>84</v>
      </c>
      <c r="I79" s="159" t="s">
        <v>84</v>
      </c>
      <c r="J79" s="159" t="s">
        <v>84</v>
      </c>
      <c r="K79" s="159" t="s">
        <v>84</v>
      </c>
      <c r="L79" s="3" t="s">
        <v>86</v>
      </c>
      <c r="M79" s="3" t="s">
        <v>86</v>
      </c>
      <c r="N79" s="3" t="s">
        <v>86</v>
      </c>
      <c r="O79" s="3" t="s">
        <v>86</v>
      </c>
      <c r="P79" s="3" t="s">
        <v>86</v>
      </c>
      <c r="Q79" s="3" t="s">
        <v>86</v>
      </c>
      <c r="R79" s="3" t="s">
        <v>86</v>
      </c>
      <c r="S79" s="159" t="s">
        <v>84</v>
      </c>
      <c r="T79" s="3" t="s">
        <v>86</v>
      </c>
      <c r="U79" s="3" t="s">
        <v>86</v>
      </c>
      <c r="V79" s="3" t="s">
        <v>86</v>
      </c>
      <c r="W79" s="3" t="s">
        <v>86</v>
      </c>
    </row>
    <row r="80" spans="2:23" x14ac:dyDescent="0.25">
      <c r="B80" s="382" t="s">
        <v>154</v>
      </c>
      <c r="C80" s="383"/>
      <c r="D80" s="3" t="s">
        <v>86</v>
      </c>
      <c r="E80" s="3" t="s">
        <v>86</v>
      </c>
      <c r="F80" s="3" t="s">
        <v>86</v>
      </c>
      <c r="G80" s="3" t="s">
        <v>86</v>
      </c>
      <c r="H80" s="3" t="s">
        <v>86</v>
      </c>
      <c r="I80" s="3" t="s">
        <v>86</v>
      </c>
      <c r="J80" s="3" t="s">
        <v>86</v>
      </c>
      <c r="K80" s="3" t="s">
        <v>86</v>
      </c>
      <c r="L80" s="3" t="s">
        <v>86</v>
      </c>
      <c r="M80" s="3" t="s">
        <v>86</v>
      </c>
      <c r="N80" s="3" t="s">
        <v>86</v>
      </c>
      <c r="O80" s="3" t="s">
        <v>86</v>
      </c>
      <c r="P80" s="3" t="s">
        <v>86</v>
      </c>
      <c r="Q80" s="3" t="s">
        <v>86</v>
      </c>
      <c r="R80" s="3" t="s">
        <v>86</v>
      </c>
      <c r="S80" s="3" t="s">
        <v>86</v>
      </c>
      <c r="T80" s="159" t="s">
        <v>84</v>
      </c>
      <c r="U80" s="159" t="s">
        <v>84</v>
      </c>
      <c r="V80" s="159" t="s">
        <v>84</v>
      </c>
      <c r="W80" s="159" t="s">
        <v>84</v>
      </c>
    </row>
    <row r="81" spans="2:42" x14ac:dyDescent="0.25">
      <c r="B81" s="385" t="s">
        <v>155</v>
      </c>
      <c r="C81" s="386" t="s">
        <v>156</v>
      </c>
      <c r="D81" s="3" t="s">
        <v>86</v>
      </c>
      <c r="E81" s="3" t="s">
        <v>86</v>
      </c>
      <c r="F81" s="3" t="s">
        <v>86</v>
      </c>
      <c r="G81" s="3" t="s">
        <v>86</v>
      </c>
      <c r="H81" s="159" t="s">
        <v>84</v>
      </c>
      <c r="I81" s="159" t="s">
        <v>84</v>
      </c>
      <c r="J81" s="159" t="s">
        <v>84</v>
      </c>
      <c r="K81" s="3" t="s">
        <v>86</v>
      </c>
      <c r="L81" s="3" t="s">
        <v>86</v>
      </c>
      <c r="M81" s="3" t="s">
        <v>86</v>
      </c>
      <c r="N81" s="3" t="s">
        <v>86</v>
      </c>
      <c r="O81" s="3" t="s">
        <v>86</v>
      </c>
      <c r="P81" s="3" t="s">
        <v>86</v>
      </c>
      <c r="Q81" s="159" t="s">
        <v>84</v>
      </c>
      <c r="R81" s="3" t="s">
        <v>86</v>
      </c>
      <c r="S81" s="3" t="s">
        <v>86</v>
      </c>
      <c r="T81" s="3" t="s">
        <v>86</v>
      </c>
      <c r="U81" s="3" t="s">
        <v>86</v>
      </c>
      <c r="V81" s="3" t="s">
        <v>86</v>
      </c>
      <c r="W81" s="3" t="s">
        <v>86</v>
      </c>
    </row>
    <row r="82" spans="2:42" x14ac:dyDescent="0.25">
      <c r="B82" s="382"/>
      <c r="C82" s="386" t="s">
        <v>157</v>
      </c>
      <c r="D82" s="3" t="s">
        <v>86</v>
      </c>
      <c r="E82" s="159" t="s">
        <v>84</v>
      </c>
      <c r="F82" s="3" t="s">
        <v>86</v>
      </c>
      <c r="G82" s="3" t="s">
        <v>86</v>
      </c>
      <c r="H82" s="3" t="s">
        <v>86</v>
      </c>
      <c r="I82" s="3" t="s">
        <v>86</v>
      </c>
      <c r="J82" s="3" t="s">
        <v>86</v>
      </c>
      <c r="K82" s="159" t="s">
        <v>84</v>
      </c>
      <c r="L82" s="3" t="s">
        <v>86</v>
      </c>
      <c r="M82" s="3" t="s">
        <v>86</v>
      </c>
      <c r="N82" s="3" t="s">
        <v>86</v>
      </c>
      <c r="O82" s="3" t="s">
        <v>86</v>
      </c>
      <c r="P82" s="3" t="s">
        <v>86</v>
      </c>
      <c r="Q82" s="3" t="s">
        <v>86</v>
      </c>
      <c r="R82" s="3" t="s">
        <v>86</v>
      </c>
      <c r="S82" s="3" t="s">
        <v>86</v>
      </c>
      <c r="T82" s="3" t="s">
        <v>86</v>
      </c>
      <c r="U82" s="3" t="s">
        <v>86</v>
      </c>
      <c r="V82" s="3" t="s">
        <v>86</v>
      </c>
      <c r="W82" s="3" t="s">
        <v>86</v>
      </c>
    </row>
    <row r="83" spans="2:42" x14ac:dyDescent="0.25">
      <c r="B83" s="382"/>
      <c r="C83" s="383" t="s">
        <v>158</v>
      </c>
      <c r="D83" s="3" t="s">
        <v>86</v>
      </c>
      <c r="E83" s="3" t="s">
        <v>86</v>
      </c>
      <c r="F83" s="3" t="s">
        <v>86</v>
      </c>
      <c r="G83" s="3" t="s">
        <v>86</v>
      </c>
      <c r="H83" s="3" t="s">
        <v>86</v>
      </c>
      <c r="I83" s="3" t="s">
        <v>86</v>
      </c>
      <c r="J83" s="3" t="s">
        <v>86</v>
      </c>
      <c r="K83" s="3" t="s">
        <v>86</v>
      </c>
      <c r="L83" s="3" t="s">
        <v>86</v>
      </c>
      <c r="M83" s="3" t="s">
        <v>86</v>
      </c>
      <c r="N83" s="3" t="s">
        <v>86</v>
      </c>
      <c r="O83" s="3" t="s">
        <v>86</v>
      </c>
      <c r="P83" s="3" t="s">
        <v>86</v>
      </c>
      <c r="Q83" s="3" t="s">
        <v>86</v>
      </c>
      <c r="R83" s="3" t="s">
        <v>86</v>
      </c>
      <c r="S83" s="159" t="s">
        <v>84</v>
      </c>
      <c r="T83" s="3" t="s">
        <v>86</v>
      </c>
      <c r="U83" s="3" t="s">
        <v>86</v>
      </c>
      <c r="V83" s="3" t="s">
        <v>86</v>
      </c>
      <c r="W83" s="3" t="s">
        <v>86</v>
      </c>
    </row>
    <row r="84" spans="2:42" x14ac:dyDescent="0.25">
      <c r="B84" s="382" t="s">
        <v>159</v>
      </c>
      <c r="C84" s="383"/>
      <c r="D84" s="3" t="s">
        <v>86</v>
      </c>
      <c r="E84" s="3" t="s">
        <v>86</v>
      </c>
      <c r="F84" s="256" t="s">
        <v>84</v>
      </c>
      <c r="G84" s="3" t="s">
        <v>86</v>
      </c>
      <c r="H84" s="3" t="s">
        <v>86</v>
      </c>
      <c r="I84" s="3" t="s">
        <v>86</v>
      </c>
      <c r="J84" s="3" t="s">
        <v>86</v>
      </c>
      <c r="K84" s="3" t="s">
        <v>86</v>
      </c>
      <c r="L84" s="3" t="s">
        <v>86</v>
      </c>
      <c r="M84" s="3" t="s">
        <v>86</v>
      </c>
      <c r="N84" s="3" t="s">
        <v>86</v>
      </c>
      <c r="O84" s="159" t="s">
        <v>84</v>
      </c>
      <c r="P84" s="159" t="s">
        <v>84</v>
      </c>
      <c r="Q84" s="3" t="s">
        <v>86</v>
      </c>
      <c r="R84" s="3" t="s">
        <v>86</v>
      </c>
      <c r="S84" s="3" t="s">
        <v>86</v>
      </c>
      <c r="T84" s="3" t="s">
        <v>86</v>
      </c>
      <c r="U84" s="3" t="s">
        <v>86</v>
      </c>
      <c r="V84" s="3" t="s">
        <v>86</v>
      </c>
      <c r="W84" s="3" t="s">
        <v>86</v>
      </c>
    </row>
    <row r="85" spans="2:42" x14ac:dyDescent="0.25">
      <c r="B85" s="382" t="s">
        <v>13</v>
      </c>
      <c r="C85" s="383"/>
      <c r="D85" s="3" t="s">
        <v>86</v>
      </c>
      <c r="E85" s="3" t="s">
        <v>86</v>
      </c>
      <c r="F85" s="3" t="s">
        <v>86</v>
      </c>
      <c r="G85" s="3" t="s">
        <v>86</v>
      </c>
      <c r="H85" s="3" t="s">
        <v>86</v>
      </c>
      <c r="I85" s="3" t="s">
        <v>86</v>
      </c>
      <c r="J85" s="3" t="s">
        <v>86</v>
      </c>
      <c r="K85" s="3" t="s">
        <v>86</v>
      </c>
      <c r="L85" s="3" t="s">
        <v>86</v>
      </c>
      <c r="M85" s="3" t="s">
        <v>86</v>
      </c>
      <c r="N85" s="3" t="s">
        <v>86</v>
      </c>
      <c r="O85" s="3" t="s">
        <v>86</v>
      </c>
      <c r="P85" s="3" t="s">
        <v>86</v>
      </c>
      <c r="Q85" s="3" t="s">
        <v>86</v>
      </c>
      <c r="R85" s="159" t="s">
        <v>84</v>
      </c>
      <c r="S85" s="3" t="s">
        <v>86</v>
      </c>
      <c r="T85" s="3" t="s">
        <v>86</v>
      </c>
      <c r="U85" s="3" t="s">
        <v>86</v>
      </c>
      <c r="V85" s="3" t="s">
        <v>86</v>
      </c>
      <c r="W85" s="3" t="s">
        <v>86</v>
      </c>
    </row>
    <row r="86" spans="2:42" x14ac:dyDescent="0.25">
      <c r="B86" s="382" t="s">
        <v>14</v>
      </c>
      <c r="C86" s="383"/>
      <c r="D86" s="3" t="s">
        <v>86</v>
      </c>
      <c r="E86" s="3" t="s">
        <v>86</v>
      </c>
      <c r="F86" s="256" t="s">
        <v>84</v>
      </c>
      <c r="G86" s="3" t="s">
        <v>86</v>
      </c>
      <c r="H86" s="3" t="s">
        <v>86</v>
      </c>
      <c r="I86" s="3" t="s">
        <v>86</v>
      </c>
      <c r="J86" s="3" t="s">
        <v>86</v>
      </c>
      <c r="K86" s="3" t="s">
        <v>86</v>
      </c>
      <c r="L86" s="3" t="s">
        <v>86</v>
      </c>
      <c r="M86" s="3" t="s">
        <v>86</v>
      </c>
      <c r="N86" s="3" t="s">
        <v>86</v>
      </c>
      <c r="O86" s="3" t="s">
        <v>86</v>
      </c>
      <c r="P86" s="3" t="s">
        <v>86</v>
      </c>
      <c r="Q86" s="3" t="s">
        <v>86</v>
      </c>
      <c r="R86" s="3" t="s">
        <v>86</v>
      </c>
      <c r="S86" s="159" t="s">
        <v>84</v>
      </c>
      <c r="T86" s="3" t="s">
        <v>86</v>
      </c>
      <c r="U86" s="3" t="s">
        <v>86</v>
      </c>
      <c r="V86" s="3" t="s">
        <v>86</v>
      </c>
      <c r="W86" s="3" t="s">
        <v>86</v>
      </c>
    </row>
    <row r="87" spans="2:42" x14ac:dyDescent="0.25">
      <c r="B87" s="382" t="s">
        <v>15</v>
      </c>
      <c r="C87" s="383"/>
      <c r="D87" s="3" t="s">
        <v>86</v>
      </c>
      <c r="E87" s="3" t="s">
        <v>86</v>
      </c>
      <c r="F87" s="3" t="s">
        <v>86</v>
      </c>
      <c r="G87" s="3" t="s">
        <v>86</v>
      </c>
      <c r="H87" s="3" t="s">
        <v>86</v>
      </c>
      <c r="I87" s="3" t="s">
        <v>86</v>
      </c>
      <c r="J87" s="3" t="s">
        <v>86</v>
      </c>
      <c r="K87" s="3" t="s">
        <v>86</v>
      </c>
      <c r="L87" s="3" t="s">
        <v>86</v>
      </c>
      <c r="M87" s="3" t="s">
        <v>86</v>
      </c>
      <c r="N87" s="3" t="s">
        <v>86</v>
      </c>
      <c r="O87" s="3" t="s">
        <v>86</v>
      </c>
      <c r="P87" s="3" t="s">
        <v>86</v>
      </c>
      <c r="Q87" s="3" t="s">
        <v>86</v>
      </c>
      <c r="R87" s="3" t="s">
        <v>86</v>
      </c>
      <c r="S87" s="3" t="s">
        <v>86</v>
      </c>
      <c r="T87" s="159" t="s">
        <v>84</v>
      </c>
      <c r="U87" s="3" t="s">
        <v>86</v>
      </c>
      <c r="V87" s="3" t="s">
        <v>86</v>
      </c>
      <c r="W87" s="3" t="s">
        <v>86</v>
      </c>
    </row>
    <row r="88" spans="2:42" x14ac:dyDescent="0.25">
      <c r="B88" s="382" t="s">
        <v>16</v>
      </c>
      <c r="C88" s="383"/>
      <c r="D88" s="3" t="s">
        <v>86</v>
      </c>
      <c r="E88" s="3" t="s">
        <v>86</v>
      </c>
      <c r="F88" s="3" t="s">
        <v>86</v>
      </c>
      <c r="G88" s="3" t="s">
        <v>86</v>
      </c>
      <c r="H88" s="3" t="s">
        <v>86</v>
      </c>
      <c r="I88" s="3" t="s">
        <v>86</v>
      </c>
      <c r="J88" s="3" t="s">
        <v>86</v>
      </c>
      <c r="K88" s="3" t="s">
        <v>86</v>
      </c>
      <c r="L88" s="3" t="s">
        <v>86</v>
      </c>
      <c r="M88" s="3" t="s">
        <v>86</v>
      </c>
      <c r="N88" s="3" t="s">
        <v>86</v>
      </c>
      <c r="O88" s="3" t="s">
        <v>86</v>
      </c>
      <c r="P88" s="3" t="s">
        <v>86</v>
      </c>
      <c r="Q88" s="3" t="s">
        <v>86</v>
      </c>
      <c r="R88" s="3" t="s">
        <v>86</v>
      </c>
      <c r="S88" s="3" t="s">
        <v>86</v>
      </c>
      <c r="T88" s="3" t="s">
        <v>86</v>
      </c>
      <c r="U88" s="159" t="s">
        <v>84</v>
      </c>
      <c r="V88" s="3" t="s">
        <v>86</v>
      </c>
      <c r="W88" s="3" t="s">
        <v>86</v>
      </c>
    </row>
    <row r="89" spans="2:42" x14ac:dyDescent="0.25">
      <c r="B89" s="382" t="s">
        <v>18</v>
      </c>
      <c r="C89" s="383"/>
      <c r="D89" s="3" t="s">
        <v>86</v>
      </c>
      <c r="E89" s="3" t="s">
        <v>86</v>
      </c>
      <c r="F89" s="3" t="s">
        <v>86</v>
      </c>
      <c r="G89" s="3" t="s">
        <v>86</v>
      </c>
      <c r="H89" s="3" t="s">
        <v>86</v>
      </c>
      <c r="I89" s="3" t="s">
        <v>86</v>
      </c>
      <c r="J89" s="3" t="s">
        <v>86</v>
      </c>
      <c r="K89" s="3" t="s">
        <v>86</v>
      </c>
      <c r="L89" s="3" t="s">
        <v>86</v>
      </c>
      <c r="M89" s="3" t="s">
        <v>86</v>
      </c>
      <c r="N89" s="3" t="s">
        <v>86</v>
      </c>
      <c r="O89" s="3" t="s">
        <v>86</v>
      </c>
      <c r="P89" s="3" t="s">
        <v>86</v>
      </c>
      <c r="Q89" s="3" t="s">
        <v>86</v>
      </c>
      <c r="R89" s="3" t="s">
        <v>86</v>
      </c>
      <c r="S89" s="3" t="s">
        <v>86</v>
      </c>
      <c r="T89" s="3" t="s">
        <v>86</v>
      </c>
      <c r="U89" s="3" t="s">
        <v>86</v>
      </c>
      <c r="V89" s="159" t="s">
        <v>84</v>
      </c>
      <c r="W89" s="3" t="s">
        <v>86</v>
      </c>
    </row>
    <row r="90" spans="2:42" x14ac:dyDescent="0.25">
      <c r="B90" s="382" t="s">
        <v>19</v>
      </c>
      <c r="C90" s="387"/>
      <c r="D90" s="3" t="s">
        <v>86</v>
      </c>
      <c r="E90" s="3" t="s">
        <v>86</v>
      </c>
      <c r="F90" s="3" t="s">
        <v>86</v>
      </c>
      <c r="G90" s="3" t="s">
        <v>86</v>
      </c>
      <c r="H90" s="3" t="s">
        <v>86</v>
      </c>
      <c r="I90" s="3" t="s">
        <v>86</v>
      </c>
      <c r="J90" s="3" t="s">
        <v>86</v>
      </c>
      <c r="K90" s="3" t="s">
        <v>86</v>
      </c>
      <c r="L90" s="3" t="s">
        <v>86</v>
      </c>
      <c r="M90" s="3" t="s">
        <v>86</v>
      </c>
      <c r="N90" s="3" t="s">
        <v>86</v>
      </c>
      <c r="O90" s="3" t="s">
        <v>86</v>
      </c>
      <c r="P90" s="3" t="s">
        <v>86</v>
      </c>
      <c r="Q90" s="3" t="s">
        <v>86</v>
      </c>
      <c r="R90" s="3" t="s">
        <v>86</v>
      </c>
      <c r="S90" s="3" t="s">
        <v>86</v>
      </c>
      <c r="T90" s="3" t="s">
        <v>86</v>
      </c>
      <c r="U90" s="3" t="s">
        <v>86</v>
      </c>
      <c r="V90" s="3" t="s">
        <v>86</v>
      </c>
      <c r="W90" s="159" t="s">
        <v>84</v>
      </c>
    </row>
    <row r="94" spans="2:42" x14ac:dyDescent="0.25">
      <c r="F94" s="299"/>
    </row>
    <row r="95" spans="2:42" x14ac:dyDescent="0.25">
      <c r="B95" s="151" t="s">
        <v>161</v>
      </c>
      <c r="C95" s="151"/>
      <c r="D95" s="150" t="s">
        <v>162</v>
      </c>
      <c r="E95" s="152" t="s">
        <v>163</v>
      </c>
      <c r="AD95" s="190"/>
      <c r="AF95" s="190"/>
      <c r="AG95" s="190"/>
      <c r="AH95" s="190"/>
      <c r="AI95" s="190"/>
      <c r="AL95" s="190"/>
      <c r="AM95" s="190"/>
      <c r="AP95" s="190"/>
    </row>
    <row r="96" spans="2:42" x14ac:dyDescent="0.25">
      <c r="B96" s="24" t="s">
        <v>164</v>
      </c>
      <c r="C96" s="24"/>
      <c r="D96" t="s">
        <v>165</v>
      </c>
      <c r="E96" s="40">
        <v>41543</v>
      </c>
    </row>
    <row r="97" spans="2:29" x14ac:dyDescent="0.25">
      <c r="B97" s="24" t="s">
        <v>166</v>
      </c>
      <c r="C97" s="24"/>
      <c r="D97" t="s">
        <v>167</v>
      </c>
      <c r="E97" s="675">
        <v>1600000</v>
      </c>
      <c r="G97" s="124" t="s">
        <v>168</v>
      </c>
      <c r="H97" s="123" t="s">
        <v>169</v>
      </c>
    </row>
    <row r="98" spans="2:29" x14ac:dyDescent="0.25">
      <c r="D98" t="s">
        <v>170</v>
      </c>
      <c r="E98" s="675">
        <f>E97/E96</f>
        <v>38.514310473485303</v>
      </c>
    </row>
    <row r="99" spans="2:29" x14ac:dyDescent="0.25">
      <c r="B99" s="203" t="s">
        <v>171</v>
      </c>
      <c r="C99" s="203" t="s">
        <v>172</v>
      </c>
      <c r="D99" s="204" t="s">
        <v>173</v>
      </c>
      <c r="E99" s="676">
        <v>31.65</v>
      </c>
      <c r="Z99" t="s">
        <v>64</v>
      </c>
    </row>
    <row r="100" spans="2:29" x14ac:dyDescent="0.25">
      <c r="B100" s="24"/>
      <c r="C100" s="24" t="s">
        <v>174</v>
      </c>
      <c r="D100" t="s">
        <v>175</v>
      </c>
      <c r="E100" s="677">
        <v>5.42</v>
      </c>
      <c r="G100" s="124" t="s">
        <v>168</v>
      </c>
      <c r="H100" s="123" t="s">
        <v>169</v>
      </c>
    </row>
    <row r="101" spans="2:29" x14ac:dyDescent="0.25">
      <c r="B101" s="24"/>
      <c r="C101" s="24" t="s">
        <v>176</v>
      </c>
      <c r="D101" t="s">
        <v>175</v>
      </c>
      <c r="E101" s="677">
        <v>17.22</v>
      </c>
    </row>
    <row r="102" spans="2:29" x14ac:dyDescent="0.25">
      <c r="B102" s="24"/>
      <c r="C102" s="24" t="s">
        <v>464</v>
      </c>
      <c r="D102" t="s">
        <v>175</v>
      </c>
      <c r="E102" s="677">
        <v>19.66</v>
      </c>
    </row>
    <row r="103" spans="2:29" x14ac:dyDescent="0.25">
      <c r="B103" s="24"/>
      <c r="C103" s="24" t="s">
        <v>465</v>
      </c>
      <c r="D103" t="s">
        <v>177</v>
      </c>
      <c r="E103" s="677">
        <v>21.2</v>
      </c>
    </row>
    <row r="104" spans="2:29" x14ac:dyDescent="0.25">
      <c r="B104" s="24"/>
      <c r="C104" s="24" t="s">
        <v>178</v>
      </c>
      <c r="D104" t="s">
        <v>175</v>
      </c>
      <c r="E104" s="677">
        <v>20</v>
      </c>
      <c r="F104">
        <v>27.73</v>
      </c>
      <c r="G104" t="s">
        <v>466</v>
      </c>
      <c r="H104" t="s">
        <v>467</v>
      </c>
    </row>
    <row r="105" spans="2:29" x14ac:dyDescent="0.25">
      <c r="B105" s="24"/>
      <c r="C105" s="24" t="s">
        <v>139</v>
      </c>
      <c r="D105" t="s">
        <v>175</v>
      </c>
      <c r="E105" s="677">
        <v>30</v>
      </c>
      <c r="F105">
        <v>28.02</v>
      </c>
      <c r="G105" t="s">
        <v>468</v>
      </c>
      <c r="H105" t="s">
        <v>469</v>
      </c>
    </row>
    <row r="106" spans="2:29" x14ac:dyDescent="0.25">
      <c r="B106" s="24"/>
      <c r="C106" s="24" t="s">
        <v>138</v>
      </c>
      <c r="D106" t="s">
        <v>177</v>
      </c>
      <c r="E106" s="23">
        <v>40</v>
      </c>
      <c r="F106">
        <v>42.82</v>
      </c>
      <c r="G106" t="s">
        <v>470</v>
      </c>
      <c r="H106" t="s">
        <v>471</v>
      </c>
    </row>
    <row r="107" spans="2:29" x14ac:dyDescent="0.25">
      <c r="B107" s="205"/>
      <c r="C107" s="205" t="s">
        <v>136</v>
      </c>
      <c r="D107" s="206" t="s">
        <v>177</v>
      </c>
      <c r="E107" s="207">
        <v>33</v>
      </c>
      <c r="F107">
        <v>43.74</v>
      </c>
      <c r="G107" t="s">
        <v>472</v>
      </c>
      <c r="H107" t="s">
        <v>473</v>
      </c>
    </row>
    <row r="108" spans="2:29" x14ac:dyDescent="0.25">
      <c r="AA108" s="80"/>
      <c r="AB108" s="80"/>
      <c r="AC108" s="80"/>
    </row>
    <row r="111" spans="2:29" x14ac:dyDescent="0.25">
      <c r="B111" s="151" t="s">
        <v>179</v>
      </c>
      <c r="C111" s="151"/>
      <c r="D111" s="150" t="s">
        <v>162</v>
      </c>
      <c r="E111" s="152" t="s">
        <v>163</v>
      </c>
    </row>
    <row r="112" spans="2:29" x14ac:dyDescent="0.25">
      <c r="B112" s="203" t="s">
        <v>147</v>
      </c>
      <c r="C112" s="203" t="s">
        <v>180</v>
      </c>
      <c r="D112" s="204" t="s">
        <v>181</v>
      </c>
      <c r="E112" s="676">
        <v>3.23</v>
      </c>
      <c r="F112" s="324"/>
    </row>
    <row r="113" spans="2:9" x14ac:dyDescent="0.25">
      <c r="B113" s="24"/>
      <c r="C113" s="24" t="s">
        <v>182</v>
      </c>
      <c r="D113" s="24" t="s">
        <v>183</v>
      </c>
      <c r="E113" s="677">
        <v>0.49</v>
      </c>
    </row>
    <row r="114" spans="2:9" x14ac:dyDescent="0.25">
      <c r="B114" s="205"/>
      <c r="C114" s="205" t="s">
        <v>184</v>
      </c>
      <c r="D114" s="205" t="s">
        <v>185</v>
      </c>
      <c r="E114" s="678">
        <v>20</v>
      </c>
      <c r="G114" s="124" t="s">
        <v>168</v>
      </c>
      <c r="H114" s="123" t="s">
        <v>186</v>
      </c>
      <c r="I114" s="153" t="s">
        <v>187</v>
      </c>
    </row>
    <row r="115" spans="2:9" x14ac:dyDescent="0.25">
      <c r="B115" s="24" t="s">
        <v>188</v>
      </c>
      <c r="C115" s="148" t="s">
        <v>189</v>
      </c>
      <c r="D115" s="149" t="s">
        <v>190</v>
      </c>
      <c r="E115" s="679">
        <v>7.4999999999999997E-2</v>
      </c>
      <c r="F115" s="324"/>
    </row>
    <row r="116" spans="2:9" x14ac:dyDescent="0.25">
      <c r="B116" s="24"/>
      <c r="C116" s="148"/>
      <c r="D116" t="s">
        <v>191</v>
      </c>
      <c r="E116" s="680">
        <f>E115*1000/3.6</f>
        <v>20.833333333333332</v>
      </c>
      <c r="G116" s="124" t="s">
        <v>168</v>
      </c>
      <c r="H116" s="123" t="s">
        <v>192</v>
      </c>
      <c r="I116" s="153" t="s">
        <v>193</v>
      </c>
    </row>
    <row r="117" spans="2:9" x14ac:dyDescent="0.25">
      <c r="B117" s="24"/>
      <c r="C117" s="148" t="s">
        <v>194</v>
      </c>
      <c r="D117" t="s">
        <v>195</v>
      </c>
      <c r="E117" s="680">
        <f>0.025*1000</f>
        <v>25</v>
      </c>
    </row>
    <row r="118" spans="2:9" x14ac:dyDescent="0.25">
      <c r="B118" s="24"/>
      <c r="C118" s="24" t="s">
        <v>178</v>
      </c>
      <c r="D118" t="s">
        <v>196</v>
      </c>
      <c r="E118" s="677">
        <f>550</f>
        <v>550</v>
      </c>
    </row>
    <row r="119" spans="2:9" x14ac:dyDescent="0.25">
      <c r="B119" s="24"/>
      <c r="C119" s="24" t="s">
        <v>197</v>
      </c>
      <c r="D119" t="s">
        <v>195</v>
      </c>
      <c r="E119" s="679">
        <f>E121</f>
        <v>58.490566037735853</v>
      </c>
    </row>
    <row r="120" spans="2:9" x14ac:dyDescent="0.25">
      <c r="B120" s="24"/>
      <c r="C120" s="24" t="s">
        <v>198</v>
      </c>
      <c r="D120" t="s">
        <v>181</v>
      </c>
      <c r="E120" s="677">
        <v>1.24</v>
      </c>
    </row>
    <row r="121" spans="2:9" x14ac:dyDescent="0.25">
      <c r="B121" s="24"/>
      <c r="C121" s="24"/>
      <c r="D121" t="s">
        <v>195</v>
      </c>
      <c r="E121" s="681">
        <f>E120/E103*1000</f>
        <v>58.490566037735853</v>
      </c>
    </row>
    <row r="122" spans="2:9" x14ac:dyDescent="0.25">
      <c r="B122" s="205" t="s">
        <v>34</v>
      </c>
      <c r="C122" s="205" t="s">
        <v>199</v>
      </c>
      <c r="D122" s="206" t="s">
        <v>200</v>
      </c>
      <c r="E122" s="678">
        <v>52.5</v>
      </c>
    </row>
    <row r="123" spans="2:9" x14ac:dyDescent="0.25">
      <c r="B123" s="24" t="s">
        <v>201</v>
      </c>
      <c r="C123" s="24"/>
      <c r="D123" t="s">
        <v>191</v>
      </c>
      <c r="E123" s="679">
        <v>35.97</v>
      </c>
      <c r="F123" s="324"/>
    </row>
    <row r="124" spans="2:9" x14ac:dyDescent="0.25">
      <c r="B124" s="24" t="s">
        <v>202</v>
      </c>
      <c r="C124" s="24"/>
      <c r="D124" t="s">
        <v>203</v>
      </c>
      <c r="E124" s="679">
        <v>0.64900000000000002</v>
      </c>
    </row>
    <row r="125" spans="2:9" x14ac:dyDescent="0.25">
      <c r="B125" s="24"/>
      <c r="C125" s="24"/>
      <c r="D125" t="s">
        <v>191</v>
      </c>
      <c r="E125" s="681">
        <f>E124*1000/3.6</f>
        <v>180.27777777777777</v>
      </c>
    </row>
    <row r="126" spans="2:9" x14ac:dyDescent="0.25">
      <c r="B126" s="24" t="s">
        <v>139</v>
      </c>
      <c r="C126" s="24"/>
      <c r="D126" t="s">
        <v>204</v>
      </c>
      <c r="E126" s="677">
        <v>2.339</v>
      </c>
    </row>
    <row r="127" spans="2:9" x14ac:dyDescent="0.25">
      <c r="B127" s="24"/>
      <c r="C127" s="24"/>
      <c r="D127" t="s">
        <v>191</v>
      </c>
      <c r="E127" s="681">
        <f>E126/E105*1000</f>
        <v>77.966666666666669</v>
      </c>
    </row>
    <row r="128" spans="2:9" x14ac:dyDescent="0.25">
      <c r="B128" s="24" t="s">
        <v>138</v>
      </c>
      <c r="C128" s="24"/>
      <c r="D128" t="s">
        <v>181</v>
      </c>
      <c r="E128" s="677">
        <v>3.1850000000000001</v>
      </c>
    </row>
    <row r="129" spans="2:10" x14ac:dyDescent="0.25">
      <c r="B129" s="24"/>
      <c r="C129" s="24"/>
      <c r="D129" t="s">
        <v>191</v>
      </c>
      <c r="E129" s="681">
        <f>E128/E106*1000</f>
        <v>79.625</v>
      </c>
    </row>
    <row r="130" spans="2:10" x14ac:dyDescent="0.25">
      <c r="B130" s="24" t="s">
        <v>136</v>
      </c>
      <c r="C130" s="24"/>
      <c r="D130" t="s">
        <v>181</v>
      </c>
      <c r="E130" s="679">
        <v>2.88</v>
      </c>
      <c r="F130" s="41"/>
      <c r="G130" s="124" t="s">
        <v>168</v>
      </c>
      <c r="H130" s="123" t="s">
        <v>205</v>
      </c>
      <c r="I130" s="102" t="s">
        <v>206</v>
      </c>
    </row>
    <row r="131" spans="2:10" x14ac:dyDescent="0.25">
      <c r="B131" s="24"/>
      <c r="C131" s="24"/>
      <c r="D131" t="s">
        <v>191</v>
      </c>
      <c r="E131" s="681">
        <f>E130/E107*1000</f>
        <v>87.272727272727266</v>
      </c>
      <c r="F131" s="126"/>
    </row>
    <row r="132" spans="2:10" x14ac:dyDescent="0.25">
      <c r="B132" s="24" t="s">
        <v>207</v>
      </c>
      <c r="C132" s="24"/>
      <c r="D132" t="s">
        <v>208</v>
      </c>
      <c r="E132" s="682">
        <f>3.381*1000</f>
        <v>3381</v>
      </c>
      <c r="F132" s="126"/>
      <c r="G132" s="124" t="s">
        <v>168</v>
      </c>
      <c r="H132" s="123" t="s">
        <v>209</v>
      </c>
      <c r="I132" s="102" t="s">
        <v>210</v>
      </c>
    </row>
    <row r="133" spans="2:10" x14ac:dyDescent="0.25">
      <c r="B133" s="24" t="s">
        <v>211</v>
      </c>
      <c r="C133" s="24"/>
      <c r="D133" t="s">
        <v>212</v>
      </c>
      <c r="E133" s="682">
        <v>480</v>
      </c>
      <c r="F133" s="126"/>
      <c r="G133" s="124" t="s">
        <v>168</v>
      </c>
      <c r="H133" s="123" t="s">
        <v>213</v>
      </c>
      <c r="I133" s="102" t="s">
        <v>214</v>
      </c>
    </row>
    <row r="134" spans="2:10" x14ac:dyDescent="0.25">
      <c r="B134" s="24" t="s">
        <v>133</v>
      </c>
      <c r="C134" s="24"/>
      <c r="D134" t="s">
        <v>215</v>
      </c>
      <c r="E134" s="682">
        <f>250/2.3</f>
        <v>108.69565217391305</v>
      </c>
      <c r="F134" s="126"/>
    </row>
    <row r="135" spans="2:10" x14ac:dyDescent="0.25">
      <c r="B135" s="24" t="s">
        <v>135</v>
      </c>
      <c r="C135" s="24"/>
      <c r="D135" t="s">
        <v>216</v>
      </c>
      <c r="E135" s="682">
        <v>2500</v>
      </c>
      <c r="F135" s="126"/>
    </row>
    <row r="136" spans="2:10" x14ac:dyDescent="0.25">
      <c r="B136" s="24" t="s">
        <v>217</v>
      </c>
      <c r="C136" s="24"/>
      <c r="D136" t="s">
        <v>218</v>
      </c>
      <c r="E136" s="682">
        <v>1330</v>
      </c>
      <c r="F136" s="126"/>
    </row>
    <row r="137" spans="2:10" x14ac:dyDescent="0.25">
      <c r="B137" s="24" t="s">
        <v>219</v>
      </c>
      <c r="C137" s="24"/>
      <c r="D137" t="s">
        <v>220</v>
      </c>
      <c r="E137" s="682">
        <v>129</v>
      </c>
      <c r="F137" s="126"/>
    </row>
    <row r="138" spans="2:10" x14ac:dyDescent="0.25">
      <c r="B138" s="24" t="s">
        <v>221</v>
      </c>
      <c r="C138" s="24"/>
      <c r="D138" t="s">
        <v>222</v>
      </c>
      <c r="E138" s="677">
        <f>2.2*E123</f>
        <v>79.134</v>
      </c>
      <c r="F138" s="126"/>
    </row>
    <row r="139" spans="2:10" x14ac:dyDescent="0.25">
      <c r="B139" s="151" t="s">
        <v>223</v>
      </c>
      <c r="C139" s="151"/>
      <c r="D139" s="150"/>
      <c r="E139" s="152"/>
      <c r="F139" s="41"/>
    </row>
    <row r="140" spans="2:10" x14ac:dyDescent="0.25">
      <c r="B140" s="24" t="s">
        <v>172</v>
      </c>
      <c r="C140" s="24"/>
      <c r="E140" s="683">
        <v>1.5</v>
      </c>
      <c r="F140" s="325"/>
      <c r="G140" s="124" t="s">
        <v>168</v>
      </c>
      <c r="H140" s="33" t="s">
        <v>523</v>
      </c>
      <c r="J140" t="s">
        <v>522</v>
      </c>
    </row>
    <row r="141" spans="2:10" x14ac:dyDescent="0.25">
      <c r="B141" s="24" t="s">
        <v>224</v>
      </c>
      <c r="C141" s="24"/>
      <c r="E141" s="684">
        <v>0.28000000000000003</v>
      </c>
      <c r="F141" s="41"/>
      <c r="G141" s="124" t="s">
        <v>168</v>
      </c>
      <c r="H141" s="33" t="s">
        <v>521</v>
      </c>
      <c r="J141" t="s">
        <v>522</v>
      </c>
    </row>
    <row r="142" spans="2:10" x14ac:dyDescent="0.25">
      <c r="B142" s="24" t="s">
        <v>225</v>
      </c>
      <c r="C142" s="24"/>
      <c r="E142" s="685">
        <v>0.4</v>
      </c>
      <c r="G142" s="124" t="s">
        <v>168</v>
      </c>
      <c r="H142" s="432" t="s">
        <v>520</v>
      </c>
    </row>
    <row r="143" spans="2:10" x14ac:dyDescent="0.25">
      <c r="B143" s="24" t="s">
        <v>226</v>
      </c>
      <c r="C143" s="24"/>
      <c r="E143" s="686">
        <v>25</v>
      </c>
      <c r="F143" s="41"/>
    </row>
    <row r="144" spans="2:10" x14ac:dyDescent="0.25">
      <c r="B144" s="24" t="s">
        <v>146</v>
      </c>
      <c r="C144" s="24"/>
      <c r="E144" s="686">
        <v>50</v>
      </c>
      <c r="F144" s="41"/>
    </row>
    <row r="145" spans="2:15" x14ac:dyDescent="0.25">
      <c r="B145" s="24" t="s">
        <v>149</v>
      </c>
      <c r="C145" s="24"/>
      <c r="E145" s="686">
        <v>10</v>
      </c>
      <c r="F145" s="41"/>
      <c r="G145" s="124" t="s">
        <v>168</v>
      </c>
      <c r="H145" s="123" t="s">
        <v>227</v>
      </c>
    </row>
    <row r="146" spans="2:15" x14ac:dyDescent="0.25">
      <c r="B146" s="24" t="s">
        <v>148</v>
      </c>
      <c r="C146" s="24"/>
      <c r="E146" s="686">
        <v>8</v>
      </c>
      <c r="F146" s="41"/>
      <c r="G146" s="124" t="s">
        <v>168</v>
      </c>
      <c r="H146" s="123" t="s">
        <v>228</v>
      </c>
      <c r="I146" s="33"/>
    </row>
    <row r="147" spans="2:15" x14ac:dyDescent="0.25">
      <c r="B147" s="24" t="s">
        <v>150</v>
      </c>
      <c r="E147" s="686">
        <v>10</v>
      </c>
      <c r="F147" s="41"/>
      <c r="G147" s="124"/>
      <c r="H147" s="102"/>
    </row>
    <row r="148" spans="2:15" x14ac:dyDescent="0.25">
      <c r="B148" s="24" t="s">
        <v>151</v>
      </c>
      <c r="C148" s="24"/>
      <c r="D148" s="47"/>
      <c r="E148" s="687">
        <v>7.5</v>
      </c>
      <c r="F148" s="41"/>
      <c r="G148" s="124" t="s">
        <v>168</v>
      </c>
      <c r="H148" s="123" t="s">
        <v>229</v>
      </c>
    </row>
    <row r="149" spans="2:15" x14ac:dyDescent="0.25">
      <c r="B149" s="24" t="s">
        <v>152</v>
      </c>
      <c r="C149" s="24"/>
      <c r="E149" s="688">
        <v>5</v>
      </c>
      <c r="F149" s="41"/>
      <c r="G149" s="124"/>
      <c r="H149" s="102"/>
    </row>
    <row r="150" spans="2:15" x14ac:dyDescent="0.25">
      <c r="B150" s="24" t="s">
        <v>154</v>
      </c>
      <c r="C150" s="24" t="s">
        <v>83</v>
      </c>
      <c r="D150" s="28">
        <v>200</v>
      </c>
      <c r="E150" s="688">
        <f>((4.18/1000*1000*('Data - samenstelling'!E18-10%)*(D150-10))+(2256*('Data - samenstelling'!E18-10%)))/E$99*E$140</f>
        <v>72.279620853080573</v>
      </c>
      <c r="F150" s="41"/>
    </row>
    <row r="151" spans="2:15" x14ac:dyDescent="0.25">
      <c r="B151" s="24"/>
      <c r="C151" s="24" t="s">
        <v>90</v>
      </c>
      <c r="D151" s="28">
        <v>200</v>
      </c>
      <c r="E151" s="688">
        <f>((4.18/1000*1000*('Data - samenstelling'!E19-10%)*(D151-10))+(2256*('Data - samenstelling'!E19-10%)))/E$99*E$140</f>
        <v>69.38843601895735</v>
      </c>
      <c r="F151" s="41"/>
    </row>
    <row r="152" spans="2:15" x14ac:dyDescent="0.25">
      <c r="B152" s="24"/>
      <c r="C152" s="24" t="s">
        <v>230</v>
      </c>
      <c r="D152" s="28">
        <v>200</v>
      </c>
      <c r="E152" s="688">
        <f>((4.18/1000*1000*('Data - samenstelling'!E20-10%)*(D152-10))+(2256*('Data - samenstelling'!E20-10%)))/E$99*E$140</f>
        <v>119.98417061611374</v>
      </c>
      <c r="F152" s="41"/>
    </row>
    <row r="153" spans="2:15" x14ac:dyDescent="0.25">
      <c r="B153" s="24"/>
      <c r="C153" s="24" t="s">
        <v>231</v>
      </c>
      <c r="D153" s="28">
        <v>200</v>
      </c>
      <c r="E153" s="688">
        <f>((4.18/1000*1000*('Data - samenstelling'!E21-10%)*(D153-10))+(2256*('Data - samenstelling'!E21-10%)))/E$99*E$140</f>
        <v>70.834028436018983</v>
      </c>
      <c r="F153" s="41"/>
      <c r="G153" s="41"/>
      <c r="H153" s="41"/>
      <c r="I153" s="41"/>
      <c r="J153" s="41"/>
    </row>
    <row r="154" spans="2:15" x14ac:dyDescent="0.25">
      <c r="B154" s="24" t="s">
        <v>153</v>
      </c>
      <c r="E154" s="688">
        <v>10</v>
      </c>
      <c r="F154" s="41"/>
      <c r="G154" s="41"/>
      <c r="H154" s="41"/>
      <c r="I154" s="41"/>
      <c r="J154" s="41"/>
      <c r="K154" s="29" t="s">
        <v>83</v>
      </c>
      <c r="L154">
        <v>100</v>
      </c>
      <c r="M154" t="s">
        <v>232</v>
      </c>
      <c r="N154" t="s">
        <v>233</v>
      </c>
      <c r="O154" t="s">
        <v>234</v>
      </c>
    </row>
    <row r="155" spans="2:15" x14ac:dyDescent="0.25">
      <c r="B155" s="462" t="s">
        <v>235</v>
      </c>
      <c r="C155" s="24" t="s">
        <v>236</v>
      </c>
      <c r="E155" s="689">
        <f>C156*'Data - samenstelling'!K22*'Data - samenstelling'!H22*'Data - samenstelling'!S22</f>
        <v>52.421091045450808</v>
      </c>
      <c r="F155" s="41"/>
      <c r="G155" s="41"/>
      <c r="H155" s="41"/>
      <c r="I155" s="41"/>
      <c r="J155" s="41"/>
      <c r="K155" s="29" t="s">
        <v>236</v>
      </c>
      <c r="L155">
        <v>27</v>
      </c>
      <c r="N155" s="108">
        <f>135</f>
        <v>135</v>
      </c>
      <c r="O155" s="138">
        <f>N155*L$154/L155</f>
        <v>500</v>
      </c>
    </row>
    <row r="156" spans="2:15" outlineLevel="1" x14ac:dyDescent="0.25">
      <c r="B156" s="462"/>
      <c r="C156" s="139">
        <v>500</v>
      </c>
      <c r="D156" s="114" t="s">
        <v>237</v>
      </c>
      <c r="E156" s="689"/>
      <c r="F156" s="41"/>
      <c r="G156" s="124" t="s">
        <v>168</v>
      </c>
      <c r="H156" s="41" t="s">
        <v>546</v>
      </c>
      <c r="I156" s="41"/>
      <c r="J156" s="41"/>
      <c r="K156" s="29"/>
      <c r="N156" s="108"/>
      <c r="O156" s="138"/>
    </row>
    <row r="157" spans="2:15" x14ac:dyDescent="0.25">
      <c r="B157" s="462"/>
      <c r="C157" s="24" t="s">
        <v>238</v>
      </c>
      <c r="E157" s="689">
        <f>C158*'Data - samenstelling'!K22*'Data - samenstelling'!H22*'Data - samenstelling'!T22*0.5</f>
        <v>90.996955684433303</v>
      </c>
      <c r="F157" s="125"/>
      <c r="G157" s="125"/>
      <c r="H157" s="125"/>
      <c r="I157" s="125"/>
      <c r="J157" s="125"/>
      <c r="K157" s="29" t="s">
        <v>239</v>
      </c>
      <c r="L157">
        <v>7.5</v>
      </c>
      <c r="N157" s="108">
        <v>45</v>
      </c>
      <c r="O157" s="138">
        <f t="shared" ref="O157" si="13">N157*L$154/L157</f>
        <v>600</v>
      </c>
    </row>
    <row r="158" spans="2:15" outlineLevel="1" x14ac:dyDescent="0.25">
      <c r="B158" s="462"/>
      <c r="C158" s="139">
        <v>3000</v>
      </c>
      <c r="D158" s="114" t="s">
        <v>240</v>
      </c>
      <c r="E158" s="690"/>
      <c r="F158" s="41"/>
      <c r="G158" s="124" t="s">
        <v>168</v>
      </c>
      <c r="H158" s="440" t="s">
        <v>546</v>
      </c>
      <c r="I158" s="41"/>
      <c r="J158" s="41"/>
      <c r="K158" s="29"/>
      <c r="N158" s="108"/>
      <c r="O158" s="138"/>
    </row>
    <row r="159" spans="2:15" x14ac:dyDescent="0.25">
      <c r="B159" s="462"/>
      <c r="C159" s="24" t="s">
        <v>241</v>
      </c>
      <c r="E159" s="690">
        <v>150</v>
      </c>
      <c r="F159" s="41"/>
      <c r="G159" s="41"/>
      <c r="H159" s="41"/>
      <c r="I159" s="41"/>
      <c r="J159" s="41"/>
      <c r="K159" s="29" t="s">
        <v>242</v>
      </c>
      <c r="L159">
        <v>0.03</v>
      </c>
      <c r="N159" s="108">
        <v>46</v>
      </c>
      <c r="O159" s="138">
        <f>N159*L$154/L159</f>
        <v>153333.33333333334</v>
      </c>
    </row>
    <row r="160" spans="2:15" x14ac:dyDescent="0.25">
      <c r="B160" s="24" t="s">
        <v>13</v>
      </c>
      <c r="E160" s="691">
        <f>('Data - samenstelling'!N22)/(7500*3600)*1000*1000*(D162)</f>
        <v>9.5422528792270551</v>
      </c>
      <c r="F160" s="41"/>
      <c r="G160" s="41"/>
      <c r="H160" s="41"/>
      <c r="I160" s="41"/>
      <c r="J160" s="41"/>
      <c r="K160" s="29" t="s">
        <v>243</v>
      </c>
      <c r="L160">
        <v>65</v>
      </c>
      <c r="N160" s="108">
        <v>50</v>
      </c>
      <c r="O160" s="138">
        <f>N160*L$154/L160</f>
        <v>76.92307692307692</v>
      </c>
    </row>
    <row r="161" spans="2:9" outlineLevel="1" x14ac:dyDescent="0.25">
      <c r="B161" s="24"/>
      <c r="C161" s="127" t="s">
        <v>244</v>
      </c>
      <c r="D161" s="128">
        <v>994</v>
      </c>
      <c r="E161" s="692"/>
      <c r="F161" s="41"/>
      <c r="G161" s="29"/>
    </row>
    <row r="162" spans="2:9" outlineLevel="1" x14ac:dyDescent="0.25">
      <c r="B162" s="24"/>
      <c r="C162" s="127" t="s">
        <v>245</v>
      </c>
      <c r="D162" s="128">
        <v>57</v>
      </c>
      <c r="E162" s="692"/>
      <c r="F162" s="130"/>
      <c r="G162" s="29"/>
    </row>
    <row r="163" spans="2:9" x14ac:dyDescent="0.25">
      <c r="B163" s="24" t="s">
        <v>14</v>
      </c>
      <c r="E163" s="690">
        <f>(D219)/(7500*3600)*1000*1000*D165</f>
        <v>12.298565154589371</v>
      </c>
      <c r="F163" s="130"/>
    </row>
    <row r="164" spans="2:9" outlineLevel="1" x14ac:dyDescent="0.25">
      <c r="B164" s="24"/>
      <c r="C164" s="127" t="s">
        <v>244</v>
      </c>
      <c r="D164" s="128">
        <v>580</v>
      </c>
      <c r="E164" s="690"/>
      <c r="F164" s="130"/>
    </row>
    <row r="165" spans="2:9" outlineLevel="1" x14ac:dyDescent="0.25">
      <c r="B165" s="24"/>
      <c r="C165" s="127" t="s">
        <v>245</v>
      </c>
      <c r="D165" s="128">
        <v>62</v>
      </c>
      <c r="E165" s="690"/>
      <c r="F165" s="130"/>
    </row>
    <row r="166" spans="2:9" x14ac:dyDescent="0.25">
      <c r="B166" s="24" t="s">
        <v>15</v>
      </c>
      <c r="E166" s="693">
        <f>(D221)/(7500*3600)*1000*1000*D168</f>
        <v>31.624881826086956</v>
      </c>
      <c r="F166" s="41"/>
    </row>
    <row r="167" spans="2:9" outlineLevel="1" x14ac:dyDescent="0.25">
      <c r="B167" s="24"/>
      <c r="C167" s="127" t="s">
        <v>244</v>
      </c>
      <c r="D167" s="128">
        <v>580</v>
      </c>
      <c r="E167" s="694"/>
      <c r="F167" s="41"/>
    </row>
    <row r="168" spans="2:9" outlineLevel="1" x14ac:dyDescent="0.25">
      <c r="B168" s="24"/>
      <c r="C168" s="127" t="s">
        <v>245</v>
      </c>
      <c r="D168" s="128">
        <v>62</v>
      </c>
      <c r="E168" s="694"/>
      <c r="F168" s="41"/>
      <c r="G168" s="131"/>
    </row>
    <row r="169" spans="2:9" x14ac:dyDescent="0.25">
      <c r="B169" s="24" t="s">
        <v>16</v>
      </c>
      <c r="E169" s="693">
        <f>(D223+D224)/(7500*3600)*1000*1000*D171</f>
        <v>96.518232526570031</v>
      </c>
      <c r="F169" s="41"/>
      <c r="I169" s="131"/>
    </row>
    <row r="170" spans="2:9" outlineLevel="1" x14ac:dyDescent="0.25">
      <c r="B170" s="24"/>
      <c r="C170" s="127" t="s">
        <v>244</v>
      </c>
      <c r="D170" s="128">
        <v>5248</v>
      </c>
      <c r="E170" s="695"/>
      <c r="F170" s="41"/>
    </row>
    <row r="171" spans="2:9" outlineLevel="1" x14ac:dyDescent="0.25">
      <c r="B171" s="24"/>
      <c r="C171" s="127" t="s">
        <v>245</v>
      </c>
      <c r="D171" s="128">
        <v>262</v>
      </c>
      <c r="E171" s="695"/>
      <c r="F171" s="41"/>
    </row>
    <row r="172" spans="2:9" x14ac:dyDescent="0.25">
      <c r="B172" s="24" t="s">
        <v>18</v>
      </c>
      <c r="E172" s="693">
        <f>(D227+D226+D228+D229)/(7500*3600)*1000*1000*D174</f>
        <v>133.64062965217394</v>
      </c>
      <c r="F172" s="41"/>
    </row>
    <row r="173" spans="2:9" hidden="1" outlineLevel="1" x14ac:dyDescent="0.25">
      <c r="B173" s="24"/>
      <c r="C173" s="132" t="s">
        <v>244</v>
      </c>
      <c r="D173" s="133">
        <v>5248</v>
      </c>
      <c r="E173" s="694"/>
      <c r="F173" s="23"/>
    </row>
    <row r="174" spans="2:9" hidden="1" outlineLevel="1" x14ac:dyDescent="0.25">
      <c r="B174" s="24"/>
      <c r="C174" s="132" t="s">
        <v>245</v>
      </c>
      <c r="D174" s="133">
        <v>262</v>
      </c>
      <c r="E174" s="694"/>
    </row>
    <row r="175" spans="2:9" collapsed="1" x14ac:dyDescent="0.25">
      <c r="B175" s="24" t="s">
        <v>19</v>
      </c>
      <c r="E175" s="693">
        <f>(D233+D232+D234)/(7500*3600)*1000*1000*D177</f>
        <v>133.64062965217391</v>
      </c>
    </row>
    <row r="176" spans="2:9" hidden="1" outlineLevel="1" x14ac:dyDescent="0.25">
      <c r="B176" s="24"/>
      <c r="C176" s="132" t="s">
        <v>244</v>
      </c>
      <c r="D176" s="133">
        <v>5248</v>
      </c>
      <c r="E176" s="41"/>
    </row>
    <row r="177" spans="2:7" hidden="1" outlineLevel="1" x14ac:dyDescent="0.25">
      <c r="B177" s="24"/>
      <c r="C177" s="132" t="s">
        <v>245</v>
      </c>
      <c r="D177" s="133">
        <v>262</v>
      </c>
      <c r="E177" s="23"/>
    </row>
    <row r="178" spans="2:7" collapsed="1" x14ac:dyDescent="0.25">
      <c r="B178" s="24"/>
      <c r="E178" s="23"/>
    </row>
    <row r="179" spans="2:7" x14ac:dyDescent="0.25">
      <c r="B179" s="24"/>
      <c r="E179" s="23"/>
    </row>
    <row r="180" spans="2:7" x14ac:dyDescent="0.25">
      <c r="B180" s="24"/>
      <c r="E180" s="23"/>
    </row>
    <row r="181" spans="2:7" x14ac:dyDescent="0.25">
      <c r="B181" s="24"/>
      <c r="E181" s="23"/>
    </row>
    <row r="182" spans="2:7" x14ac:dyDescent="0.25">
      <c r="B182" s="151" t="s">
        <v>246</v>
      </c>
      <c r="C182" s="151"/>
      <c r="D182" s="150"/>
      <c r="E182" s="152"/>
    </row>
    <row r="183" spans="2:7" x14ac:dyDescent="0.25">
      <c r="B183" s="24" t="s">
        <v>247</v>
      </c>
      <c r="D183" s="696">
        <v>400</v>
      </c>
      <c r="G183" s="102" t="s">
        <v>248</v>
      </c>
    </row>
    <row r="184" spans="2:7" x14ac:dyDescent="0.25">
      <c r="B184" s="24" t="s">
        <v>249</v>
      </c>
      <c r="D184" s="696">
        <v>750</v>
      </c>
      <c r="G184" s="102" t="s">
        <v>250</v>
      </c>
    </row>
    <row r="185" spans="2:7" x14ac:dyDescent="0.25">
      <c r="B185" s="221" t="s">
        <v>251</v>
      </c>
      <c r="C185" s="222"/>
      <c r="D185" s="697">
        <v>150</v>
      </c>
      <c r="G185" s="112"/>
    </row>
    <row r="186" spans="2:7" x14ac:dyDescent="0.25">
      <c r="B186" s="24" t="s">
        <v>252</v>
      </c>
      <c r="D186" s="696">
        <v>77</v>
      </c>
      <c r="F186" s="325"/>
    </row>
    <row r="187" spans="2:7" x14ac:dyDescent="0.25">
      <c r="B187" s="24" t="s">
        <v>253</v>
      </c>
      <c r="D187" s="696">
        <v>300</v>
      </c>
    </row>
    <row r="188" spans="2:7" ht="26.25" x14ac:dyDescent="0.25">
      <c r="B188" s="109" t="s">
        <v>254</v>
      </c>
      <c r="D188" s="698">
        <v>3400</v>
      </c>
    </row>
    <row r="189" spans="2:7" x14ac:dyDescent="0.25">
      <c r="B189" s="109" t="s">
        <v>221</v>
      </c>
      <c r="D189" s="696">
        <v>200</v>
      </c>
    </row>
    <row r="190" spans="2:7" x14ac:dyDescent="0.25">
      <c r="B190" s="109" t="s">
        <v>178</v>
      </c>
      <c r="D190" s="699">
        <v>15</v>
      </c>
      <c r="E190" s="110"/>
    </row>
    <row r="191" spans="2:7" x14ac:dyDescent="0.25">
      <c r="B191" s="109" t="s">
        <v>37</v>
      </c>
      <c r="D191" s="700">
        <v>3</v>
      </c>
      <c r="E191" s="110"/>
      <c r="G191" s="102" t="s">
        <v>255</v>
      </c>
    </row>
    <row r="192" spans="2:7" x14ac:dyDescent="0.25">
      <c r="B192" s="109" t="s">
        <v>224</v>
      </c>
      <c r="D192" s="700">
        <v>6</v>
      </c>
      <c r="E192" s="186">
        <f>D192/1000*3.6</f>
        <v>2.1600000000000001E-2</v>
      </c>
    </row>
    <row r="193" spans="2:8" x14ac:dyDescent="0.25">
      <c r="B193" s="109" t="s">
        <v>256</v>
      </c>
      <c r="D193" s="700">
        <v>8</v>
      </c>
      <c r="E193" s="110"/>
    </row>
    <row r="194" spans="2:8" x14ac:dyDescent="0.25">
      <c r="B194" s="109" t="s">
        <v>257</v>
      </c>
      <c r="D194" s="701"/>
    </row>
    <row r="195" spans="2:8" x14ac:dyDescent="0.25">
      <c r="B195" s="195" t="s">
        <v>258</v>
      </c>
      <c r="D195" s="700">
        <f>E195*1000/3.6</f>
        <v>18.055555555555554</v>
      </c>
      <c r="E195" s="196">
        <v>6.5000000000000002E-2</v>
      </c>
    </row>
    <row r="196" spans="2:8" x14ac:dyDescent="0.25">
      <c r="B196" s="195" t="s">
        <v>15</v>
      </c>
      <c r="D196" s="700">
        <f t="shared" ref="D196:D198" si="14">E196*1000/3.6</f>
        <v>16.666666666666668</v>
      </c>
      <c r="E196" s="196">
        <v>0.06</v>
      </c>
    </row>
    <row r="197" spans="2:8" x14ac:dyDescent="0.25">
      <c r="B197" s="195" t="s">
        <v>259</v>
      </c>
      <c r="D197" s="700">
        <f t="shared" si="14"/>
        <v>4.166666666666667</v>
      </c>
      <c r="E197" s="196">
        <v>1.4999999999999999E-2</v>
      </c>
    </row>
    <row r="198" spans="2:8" ht="30" x14ac:dyDescent="0.25">
      <c r="B198" s="195" t="s">
        <v>260</v>
      </c>
      <c r="D198" s="700">
        <f t="shared" si="14"/>
        <v>4.166666666666667</v>
      </c>
      <c r="E198" s="196">
        <v>1.4999999999999999E-2</v>
      </c>
    </row>
    <row r="201" spans="2:8" x14ac:dyDescent="0.25">
      <c r="B201" s="150" t="s">
        <v>261</v>
      </c>
      <c r="C201" s="150" t="s">
        <v>262</v>
      </c>
      <c r="G201" s="124"/>
    </row>
    <row r="202" spans="2:8" x14ac:dyDescent="0.25">
      <c r="B202" s="26" t="s">
        <v>263</v>
      </c>
      <c r="C202" s="702">
        <v>50</v>
      </c>
      <c r="F202" s="325"/>
      <c r="G202" s="124"/>
      <c r="H202" s="123"/>
    </row>
    <row r="203" spans="2:8" x14ac:dyDescent="0.25">
      <c r="B203" s="26" t="s">
        <v>7</v>
      </c>
      <c r="C203" s="702">
        <v>25</v>
      </c>
      <c r="G203" s="124" t="s">
        <v>168</v>
      </c>
      <c r="H203" s="123" t="s">
        <v>264</v>
      </c>
    </row>
    <row r="204" spans="2:8" x14ac:dyDescent="0.25">
      <c r="B204" s="26" t="s">
        <v>241</v>
      </c>
      <c r="C204" s="702">
        <v>100</v>
      </c>
      <c r="H204" s="123"/>
    </row>
    <row r="205" spans="2:8" x14ac:dyDescent="0.25">
      <c r="B205" s="26"/>
      <c r="C205" s="116"/>
      <c r="D205" s="23"/>
      <c r="E205" s="154"/>
      <c r="H205" s="123"/>
    </row>
    <row r="206" spans="2:8" x14ac:dyDescent="0.25">
      <c r="B206" s="26"/>
      <c r="C206" s="116"/>
      <c r="D206" s="23"/>
      <c r="E206" s="154"/>
      <c r="H206" s="123"/>
    </row>
    <row r="207" spans="2:8" x14ac:dyDescent="0.25">
      <c r="B207" s="150" t="s">
        <v>20</v>
      </c>
      <c r="C207" s="150"/>
      <c r="D207" s="150" t="s">
        <v>265</v>
      </c>
      <c r="G207" s="123"/>
    </row>
    <row r="208" spans="2:8" x14ac:dyDescent="0.25">
      <c r="B208" s="27" t="s">
        <v>266</v>
      </c>
      <c r="C208" s="117"/>
      <c r="D208" s="23"/>
      <c r="E208" s="31"/>
    </row>
    <row r="209" spans="2:9" x14ac:dyDescent="0.25">
      <c r="B209" s="26" t="s">
        <v>267</v>
      </c>
      <c r="C209" s="223">
        <v>0.4</v>
      </c>
      <c r="D209" s="23"/>
      <c r="E209" s="31"/>
    </row>
    <row r="210" spans="2:9" x14ac:dyDescent="0.25">
      <c r="B210" s="224" t="s">
        <v>268</v>
      </c>
      <c r="C210" s="223">
        <v>0.6</v>
      </c>
      <c r="D210" s="23"/>
      <c r="E210" s="31"/>
    </row>
    <row r="211" spans="2:9" x14ac:dyDescent="0.25">
      <c r="B211" s="225" t="s">
        <v>269</v>
      </c>
      <c r="C211" s="223">
        <v>0.1</v>
      </c>
      <c r="D211" s="23"/>
      <c r="E211" s="31"/>
    </row>
    <row r="212" spans="2:9" x14ac:dyDescent="0.25">
      <c r="B212" s="226"/>
      <c r="C212" s="227"/>
      <c r="D212" s="207"/>
      <c r="E212" s="31"/>
    </row>
    <row r="213" spans="2:9" x14ac:dyDescent="0.25">
      <c r="B213" t="s">
        <v>270</v>
      </c>
      <c r="C213" s="703">
        <v>170</v>
      </c>
      <c r="D213" s="23"/>
      <c r="F213" s="325"/>
      <c r="I213" s="30"/>
    </row>
    <row r="214" spans="2:9" x14ac:dyDescent="0.25">
      <c r="B214" t="s">
        <v>28</v>
      </c>
      <c r="C214" s="704">
        <v>19</v>
      </c>
      <c r="I214" s="30"/>
    </row>
    <row r="215" spans="2:9" x14ac:dyDescent="0.25">
      <c r="B215" s="118" t="s">
        <v>271</v>
      </c>
      <c r="C215" s="705">
        <f>0.9*C210</f>
        <v>0.54</v>
      </c>
      <c r="D215" s="122">
        <f>C214*C213/1000*C215</f>
        <v>1.7442000000000002</v>
      </c>
      <c r="E215" s="309"/>
      <c r="I215" s="30"/>
    </row>
    <row r="216" spans="2:9" x14ac:dyDescent="0.25">
      <c r="B216" s="118" t="s">
        <v>272</v>
      </c>
      <c r="C216" s="706">
        <f>0.9*C209</f>
        <v>0.36000000000000004</v>
      </c>
      <c r="D216" s="122">
        <f>C214*C213/1000*C216</f>
        <v>1.1628000000000001</v>
      </c>
      <c r="E216" s="122"/>
      <c r="I216" s="30"/>
    </row>
    <row r="217" spans="2:9" x14ac:dyDescent="0.25">
      <c r="B217" t="s">
        <v>273</v>
      </c>
      <c r="C217" s="707"/>
      <c r="D217" s="23"/>
      <c r="I217" s="30"/>
    </row>
    <row r="218" spans="2:9" x14ac:dyDescent="0.25">
      <c r="B218" t="s">
        <v>274</v>
      </c>
      <c r="C218" s="705"/>
      <c r="D218" s="23"/>
      <c r="I218" s="30"/>
    </row>
    <row r="219" spans="2:9" x14ac:dyDescent="0.25">
      <c r="B219" s="118" t="s">
        <v>36</v>
      </c>
      <c r="C219" s="705">
        <v>0.35</v>
      </c>
      <c r="D219" s="120">
        <f>'Data - samenstelling'!P22*1000/1000*C219</f>
        <v>5.3558267608695642</v>
      </c>
      <c r="E219" s="122">
        <f>D215*1000/3.6</f>
        <v>484.50000000000006</v>
      </c>
      <c r="I219" s="30"/>
    </row>
    <row r="220" spans="2:9" x14ac:dyDescent="0.25">
      <c r="B220" t="s">
        <v>275</v>
      </c>
      <c r="C220" s="701"/>
      <c r="I220" s="30"/>
    </row>
    <row r="221" spans="2:9" x14ac:dyDescent="0.25">
      <c r="B221" s="118" t="s">
        <v>37</v>
      </c>
      <c r="C221" s="705">
        <v>0.9</v>
      </c>
      <c r="D221" s="120">
        <f>'Data - samenstelling'!P22*1000/1000*C221</f>
        <v>13.772125956521739</v>
      </c>
      <c r="E221" s="122"/>
      <c r="I221" s="30"/>
    </row>
    <row r="222" spans="2:9" x14ac:dyDescent="0.25">
      <c r="B222" t="s">
        <v>276</v>
      </c>
      <c r="C222" s="708"/>
      <c r="D222" s="120"/>
      <c r="G222" s="124" t="s">
        <v>168</v>
      </c>
      <c r="H222" s="33" t="s">
        <v>277</v>
      </c>
      <c r="I222" s="30"/>
    </row>
    <row r="223" spans="2:9" x14ac:dyDescent="0.25">
      <c r="B223" s="118" t="s">
        <v>271</v>
      </c>
      <c r="C223" s="705">
        <f>65%*C210</f>
        <v>0.39</v>
      </c>
      <c r="D223" s="120">
        <f>'Data - samenstelling'!P22*1000/1000*C223</f>
        <v>5.9679212478260872</v>
      </c>
      <c r="E223" s="122"/>
      <c r="I223" s="30"/>
    </row>
    <row r="224" spans="2:9" x14ac:dyDescent="0.25">
      <c r="B224" s="118" t="s">
        <v>272</v>
      </c>
      <c r="C224" s="706">
        <f>65%*C209</f>
        <v>0.26</v>
      </c>
      <c r="D224" s="120">
        <f>'Data - samenstelling'!P22*1000/1000*C224</f>
        <v>3.9786141652173912</v>
      </c>
      <c r="E224" s="122"/>
      <c r="H224" s="30"/>
    </row>
    <row r="225" spans="2:8" x14ac:dyDescent="0.25">
      <c r="B225" t="s">
        <v>278</v>
      </c>
      <c r="C225" s="705"/>
      <c r="D225" s="24"/>
      <c r="H225" s="30"/>
    </row>
    <row r="226" spans="2:8" x14ac:dyDescent="0.25">
      <c r="B226" s="118" t="s">
        <v>197</v>
      </c>
      <c r="C226" s="705">
        <v>0.55000000000000004</v>
      </c>
      <c r="D226" s="120">
        <f>'Data - samenstelling'!P22*1000/1000*C226</f>
        <v>8.416299195652174</v>
      </c>
      <c r="E226" s="122"/>
      <c r="H226" s="30"/>
    </row>
    <row r="227" spans="2:8" x14ac:dyDescent="0.25">
      <c r="B227" s="118" t="s">
        <v>271</v>
      </c>
      <c r="C227" s="705">
        <f>25%*C210</f>
        <v>0.15</v>
      </c>
      <c r="D227" s="120">
        <f>'Data - samenstelling'!P22*1000/1000*C227</f>
        <v>2.2953543260869562</v>
      </c>
      <c r="E227" s="122"/>
      <c r="H227" s="30"/>
    </row>
    <row r="228" spans="2:8" x14ac:dyDescent="0.25">
      <c r="B228" s="118" t="s">
        <v>272</v>
      </c>
      <c r="C228" s="706">
        <f>25%*C209</f>
        <v>0.1</v>
      </c>
      <c r="D228" s="120">
        <f>'Data - samenstelling'!P22*1000/1000*C228</f>
        <v>1.5302362173913044</v>
      </c>
      <c r="E228" s="122"/>
      <c r="H228" s="30"/>
    </row>
    <row r="229" spans="2:8" x14ac:dyDescent="0.25">
      <c r="B229" s="450" t="s">
        <v>178</v>
      </c>
      <c r="C229" s="705">
        <f>0.9-C226-25%</f>
        <v>9.9999999999999978E-2</v>
      </c>
      <c r="D229" s="120">
        <f>'Data - samenstelling'!P22*1000/1000*C228</f>
        <v>1.5302362173913044</v>
      </c>
      <c r="E229" s="122"/>
      <c r="H229" s="30"/>
    </row>
    <row r="230" spans="2:8" x14ac:dyDescent="0.25">
      <c r="B230" s="450"/>
      <c r="C230" s="709"/>
      <c r="D230" s="121">
        <f>D229/E104</f>
        <v>7.6511810869565225E-2</v>
      </c>
      <c r="E230" s="122"/>
      <c r="H230" s="30"/>
    </row>
    <row r="231" spans="2:8" x14ac:dyDescent="0.25">
      <c r="B231" t="s">
        <v>279</v>
      </c>
      <c r="C231" s="707"/>
      <c r="D231" s="24"/>
      <c r="H231" s="30"/>
    </row>
    <row r="232" spans="2:8" x14ac:dyDescent="0.25">
      <c r="B232" s="118" t="s">
        <v>271</v>
      </c>
      <c r="C232" s="705">
        <f>20%*C210</f>
        <v>0.12</v>
      </c>
      <c r="D232" s="120">
        <f>'Data - samenstelling'!P22*1000/1000*C232</f>
        <v>1.8362834608695651</v>
      </c>
      <c r="E232" s="122"/>
    </row>
    <row r="233" spans="2:8" x14ac:dyDescent="0.25">
      <c r="B233" s="118" t="s">
        <v>272</v>
      </c>
      <c r="C233" s="706">
        <f>20%*C209</f>
        <v>8.0000000000000016E-2</v>
      </c>
      <c r="D233" s="120">
        <f>'Data - samenstelling'!P22*1000/1000*C233</f>
        <v>1.2241889739130436</v>
      </c>
      <c r="E233" s="122"/>
    </row>
    <row r="234" spans="2:8" x14ac:dyDescent="0.25">
      <c r="B234" s="450" t="s">
        <v>178</v>
      </c>
      <c r="C234" s="705">
        <f>0.9-20%</f>
        <v>0.7</v>
      </c>
      <c r="D234" s="120">
        <f>'Data - samenstelling'!P22*1000/1000*C234</f>
        <v>10.711653521739128</v>
      </c>
      <c r="E234" s="122"/>
    </row>
    <row r="235" spans="2:8" x14ac:dyDescent="0.25">
      <c r="B235" s="450"/>
      <c r="C235" s="119"/>
      <c r="D235" s="121">
        <f>D234/E104</f>
        <v>0.53558267608695642</v>
      </c>
      <c r="E235" s="122"/>
    </row>
    <row r="238" spans="2:8" x14ac:dyDescent="0.25">
      <c r="B238" t="s">
        <v>280</v>
      </c>
      <c r="D238" s="120">
        <f>2.2*500/0.7/1000</f>
        <v>1.5714285714285716</v>
      </c>
    </row>
  </sheetData>
  <mergeCells count="234">
    <mergeCell ref="C1:E1"/>
    <mergeCell ref="B2:C3"/>
    <mergeCell ref="D2:X2"/>
    <mergeCell ref="Y2:AD2"/>
    <mergeCell ref="AE2:AT2"/>
    <mergeCell ref="E3:G3"/>
    <mergeCell ref="H3:P3"/>
    <mergeCell ref="R3:U3"/>
    <mergeCell ref="W3:Y3"/>
    <mergeCell ref="AA3:AC3"/>
    <mergeCell ref="AM4:AN4"/>
    <mergeCell ref="AP4:AR4"/>
    <mergeCell ref="AS4:AT4"/>
    <mergeCell ref="AD3:AE3"/>
    <mergeCell ref="AH3:AI3"/>
    <mergeCell ref="AJ3:AK3"/>
    <mergeCell ref="AL3:AO3"/>
    <mergeCell ref="AP3:AT3"/>
    <mergeCell ref="D4:E4"/>
    <mergeCell ref="G4:H4"/>
    <mergeCell ref="J4:K4"/>
    <mergeCell ref="L4:O4"/>
    <mergeCell ref="S4:T4"/>
    <mergeCell ref="I5:J5"/>
    <mergeCell ref="K5:L5"/>
    <mergeCell ref="R5:T5"/>
    <mergeCell ref="AD5:AE5"/>
    <mergeCell ref="AH5:AI5"/>
    <mergeCell ref="AJ5:AK5"/>
    <mergeCell ref="W4:X4"/>
    <mergeCell ref="AA4:AC4"/>
    <mergeCell ref="AH4:AI4"/>
    <mergeCell ref="AL5:AO5"/>
    <mergeCell ref="AP5:AQ5"/>
    <mergeCell ref="AR5:AS5"/>
    <mergeCell ref="R6:T6"/>
    <mergeCell ref="AD6:AE6"/>
    <mergeCell ref="AH6:AI6"/>
    <mergeCell ref="AJ6:AK6"/>
    <mergeCell ref="AL6:AO6"/>
    <mergeCell ref="AP6:AQ6"/>
    <mergeCell ref="AR6:AS6"/>
    <mergeCell ref="B7:B10"/>
    <mergeCell ref="R7:T7"/>
    <mergeCell ref="AD7:AE7"/>
    <mergeCell ref="AH7:AI7"/>
    <mergeCell ref="AJ7:AK7"/>
    <mergeCell ref="AL7:AO7"/>
    <mergeCell ref="R9:T9"/>
    <mergeCell ref="AD9:AE9"/>
    <mergeCell ref="AH9:AI9"/>
    <mergeCell ref="AJ9:AK9"/>
    <mergeCell ref="AL9:AO9"/>
    <mergeCell ref="AP7:AQ7"/>
    <mergeCell ref="AR7:AS7"/>
    <mergeCell ref="R8:T8"/>
    <mergeCell ref="AD8:AE8"/>
    <mergeCell ref="AH8:AI8"/>
    <mergeCell ref="AJ8:AK8"/>
    <mergeCell ref="AL8:AO8"/>
    <mergeCell ref="AP8:AQ8"/>
    <mergeCell ref="AR8:AS8"/>
    <mergeCell ref="AP9:AQ9"/>
    <mergeCell ref="AR9:AS9"/>
    <mergeCell ref="R10:T10"/>
    <mergeCell ref="AD10:AE10"/>
    <mergeCell ref="AH10:AI10"/>
    <mergeCell ref="AJ10:AK10"/>
    <mergeCell ref="AL10:AO10"/>
    <mergeCell ref="AP10:AQ10"/>
    <mergeCell ref="AR10:AS10"/>
    <mergeCell ref="AP12:AT12"/>
    <mergeCell ref="R13:T13"/>
    <mergeCell ref="AD13:AE13"/>
    <mergeCell ref="AH13:AI13"/>
    <mergeCell ref="AJ13:AK13"/>
    <mergeCell ref="AL13:AO13"/>
    <mergeCell ref="AP13:AT13"/>
    <mergeCell ref="P11:AE11"/>
    <mergeCell ref="AG11:AI11"/>
    <mergeCell ref="AJ11:AK11"/>
    <mergeCell ref="AL11:AQ11"/>
    <mergeCell ref="AR11:AS11"/>
    <mergeCell ref="R12:T12"/>
    <mergeCell ref="AD12:AE12"/>
    <mergeCell ref="AH12:AI12"/>
    <mergeCell ref="AJ12:AK12"/>
    <mergeCell ref="AL12:AO12"/>
    <mergeCell ref="AR14:AS14"/>
    <mergeCell ref="B15:B19"/>
    <mergeCell ref="R15:T15"/>
    <mergeCell ref="AD15:AE15"/>
    <mergeCell ref="AH15:AI15"/>
    <mergeCell ref="AJ15:AK15"/>
    <mergeCell ref="AL15:AO15"/>
    <mergeCell ref="AP15:AT15"/>
    <mergeCell ref="R16:T16"/>
    <mergeCell ref="AD16:AE16"/>
    <mergeCell ref="R14:T14"/>
    <mergeCell ref="AD14:AE14"/>
    <mergeCell ref="AH14:AI14"/>
    <mergeCell ref="AJ14:AK14"/>
    <mergeCell ref="AL14:AO14"/>
    <mergeCell ref="AP14:AQ14"/>
    <mergeCell ref="AH16:AI16"/>
    <mergeCell ref="AL16:AO16"/>
    <mergeCell ref="AP16:AT16"/>
    <mergeCell ref="R17:T17"/>
    <mergeCell ref="AD17:AE17"/>
    <mergeCell ref="AH17:AI17"/>
    <mergeCell ref="AJ17:AK17"/>
    <mergeCell ref="AL17:AO17"/>
    <mergeCell ref="AP17:AT17"/>
    <mergeCell ref="R21:T21"/>
    <mergeCell ref="AD21:AE21"/>
    <mergeCell ref="AH21:AI21"/>
    <mergeCell ref="AJ21:AK21"/>
    <mergeCell ref="AL21:AO21"/>
    <mergeCell ref="AP21:AT21"/>
    <mergeCell ref="AP18:AQ18"/>
    <mergeCell ref="AR18:AS18"/>
    <mergeCell ref="AP19:AQ19"/>
    <mergeCell ref="AR19:AS19"/>
    <mergeCell ref="R20:T20"/>
    <mergeCell ref="AD20:AE20"/>
    <mergeCell ref="AH20:AI20"/>
    <mergeCell ref="AL20:AO20"/>
    <mergeCell ref="AP20:AT20"/>
    <mergeCell ref="R22:T22"/>
    <mergeCell ref="AD22:AE22"/>
    <mergeCell ref="AL22:AO22"/>
    <mergeCell ref="AP22:AT22"/>
    <mergeCell ref="R23:T23"/>
    <mergeCell ref="AD23:AE23"/>
    <mergeCell ref="AH23:AI23"/>
    <mergeCell ref="AL23:AO23"/>
    <mergeCell ref="AP23:AT23"/>
    <mergeCell ref="R25:T25"/>
    <mergeCell ref="AD25:AE25"/>
    <mergeCell ref="AH25:AI25"/>
    <mergeCell ref="AJ25:AK25"/>
    <mergeCell ref="AL25:AO25"/>
    <mergeCell ref="AP25:AT25"/>
    <mergeCell ref="R24:T24"/>
    <mergeCell ref="AD24:AE24"/>
    <mergeCell ref="AH24:AI24"/>
    <mergeCell ref="AJ24:AK24"/>
    <mergeCell ref="AL24:AO24"/>
    <mergeCell ref="AP24:AT24"/>
    <mergeCell ref="R29:T29"/>
    <mergeCell ref="AD29:AE29"/>
    <mergeCell ref="AL29:AO29"/>
    <mergeCell ref="AP29:AT29"/>
    <mergeCell ref="R30:T30"/>
    <mergeCell ref="AD30:AE30"/>
    <mergeCell ref="AL30:AO30"/>
    <mergeCell ref="AP30:AT30"/>
    <mergeCell ref="AP26:AT26"/>
    <mergeCell ref="R27:T27"/>
    <mergeCell ref="AD27:AE27"/>
    <mergeCell ref="AL27:AO27"/>
    <mergeCell ref="AP27:AT27"/>
    <mergeCell ref="R28:T28"/>
    <mergeCell ref="AD28:AE28"/>
    <mergeCell ref="AL28:AO28"/>
    <mergeCell ref="AP28:AT28"/>
    <mergeCell ref="R33:T33"/>
    <mergeCell ref="AD33:AE33"/>
    <mergeCell ref="AL33:AO33"/>
    <mergeCell ref="AP33:AT33"/>
    <mergeCell ref="R34:T34"/>
    <mergeCell ref="AD34:AE34"/>
    <mergeCell ref="AL34:AO34"/>
    <mergeCell ref="AP34:AT34"/>
    <mergeCell ref="R31:T31"/>
    <mergeCell ref="AD31:AE31"/>
    <mergeCell ref="AL31:AO31"/>
    <mergeCell ref="AP31:AT31"/>
    <mergeCell ref="R32:T32"/>
    <mergeCell ref="AD32:AE32"/>
    <mergeCell ref="AL32:AO32"/>
    <mergeCell ref="AP32:AT32"/>
    <mergeCell ref="R37:T37"/>
    <mergeCell ref="AD37:AE37"/>
    <mergeCell ref="AL37:AO37"/>
    <mergeCell ref="AP37:AT37"/>
    <mergeCell ref="R38:T38"/>
    <mergeCell ref="AD38:AE38"/>
    <mergeCell ref="AL38:AO38"/>
    <mergeCell ref="AP38:AT38"/>
    <mergeCell ref="R35:T35"/>
    <mergeCell ref="AD35:AE35"/>
    <mergeCell ref="AL35:AO35"/>
    <mergeCell ref="AP35:AT35"/>
    <mergeCell ref="R36:T36"/>
    <mergeCell ref="AD36:AE36"/>
    <mergeCell ref="AL36:AO36"/>
    <mergeCell ref="AP36:AT36"/>
    <mergeCell ref="R41:T41"/>
    <mergeCell ref="AD41:AE41"/>
    <mergeCell ref="AL41:AO41"/>
    <mergeCell ref="AP41:AT41"/>
    <mergeCell ref="R42:T42"/>
    <mergeCell ref="AD42:AE42"/>
    <mergeCell ref="AL42:AO42"/>
    <mergeCell ref="AP42:AT42"/>
    <mergeCell ref="R39:T39"/>
    <mergeCell ref="AD39:AE39"/>
    <mergeCell ref="AL39:AO39"/>
    <mergeCell ref="AP39:AT39"/>
    <mergeCell ref="R40:T40"/>
    <mergeCell ref="AD40:AE40"/>
    <mergeCell ref="AL40:AO40"/>
    <mergeCell ref="AP40:AT40"/>
    <mergeCell ref="AL45:AO45"/>
    <mergeCell ref="AP45:AT45"/>
    <mergeCell ref="R43:T43"/>
    <mergeCell ref="AD43:AE43"/>
    <mergeCell ref="AL43:AO43"/>
    <mergeCell ref="AP43:AT43"/>
    <mergeCell ref="R44:T44"/>
    <mergeCell ref="AD44:AE44"/>
    <mergeCell ref="AL44:AO44"/>
    <mergeCell ref="AP44:AT44"/>
    <mergeCell ref="B155:B159"/>
    <mergeCell ref="B229:B230"/>
    <mergeCell ref="B234:B235"/>
    <mergeCell ref="B63:B68"/>
    <mergeCell ref="B53:B57"/>
    <mergeCell ref="R45:T45"/>
    <mergeCell ref="AD45:AE45"/>
    <mergeCell ref="AH45:AI45"/>
    <mergeCell ref="AJ45:AK45"/>
    <mergeCell ref="B61:B62"/>
  </mergeCells>
  <conditionalFormatting sqref="D71:W7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4" priority="26">
      <formula>($D$71:$W$71 &gt; 0)</formula>
    </cfRule>
  </conditionalFormatting>
  <conditionalFormatting sqref="R23:T23">
    <cfRule type="colorScale" priority="6">
      <colorScale>
        <cfvo type="num" val="0"/>
        <cfvo type="num" val="0"/>
        <color rgb="FFFF0000"/>
        <color theme="9" tint="0.39997558519241921"/>
      </colorScale>
    </cfRule>
    <cfRule type="colorScale" priority="7">
      <colorScale>
        <cfvo type="min"/>
        <cfvo type="max"/>
        <color rgb="FFFF0000"/>
        <color theme="9" tint="0.39997558519241921"/>
      </colorScale>
    </cfRule>
    <cfRule type="colorScale" priority="8">
      <colorScale>
        <cfvo type="num" val="0"/>
        <cfvo type="num" val="0"/>
        <color rgb="FFFF7128"/>
        <color rgb="FFFFEF9C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23:AT23 U23:AH23 D23:Q23">
    <cfRule type="colorScale" priority="10">
      <colorScale>
        <cfvo type="num" val="0"/>
        <cfvo type="num" val="0"/>
        <color rgb="FFFF0000"/>
        <color theme="9" tint="0.39997558519241921"/>
      </colorScale>
    </cfRule>
    <cfRule type="colorScale" priority="11">
      <colorScale>
        <cfvo type="min"/>
        <cfvo type="max"/>
        <color rgb="FFFF0000"/>
        <color theme="9" tint="0.39997558519241921"/>
      </colorScale>
    </cfRule>
    <cfRule type="colorScale" priority="12">
      <colorScale>
        <cfvo type="num" val="0"/>
        <cfvo type="num" val="0"/>
        <color rgb="FFFF7128"/>
        <color rgb="FFFFEF9C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6:AT16">
    <cfRule type="colorScale" priority="3">
      <colorScale>
        <cfvo type="min"/>
        <cfvo type="max"/>
        <color theme="0"/>
        <color theme="0"/>
      </colorScale>
    </cfRule>
    <cfRule type="colorScale" priority="4">
      <colorScale>
        <cfvo type="min"/>
        <cfvo type="max"/>
        <color theme="0"/>
        <color rgb="FFFFEF9C"/>
      </colorScale>
    </cfRule>
    <cfRule type="colorScale" priority="5">
      <colorScale>
        <cfvo type="num" val="0"/>
        <cfvo type="max"/>
        <color rgb="FFFF0000"/>
        <color rgb="FF92D050"/>
      </colorScale>
    </cfRule>
  </conditionalFormatting>
  <hyperlinks>
    <hyperlink ref="I6" r:id="rId1" xr:uid="{33727786-B905-4811-A018-359D4BD5EEC4}"/>
    <hyperlink ref="X6" r:id="rId2" xr:uid="{FA2A96F7-A399-415F-8A16-20780338EB7A}"/>
    <hyperlink ref="N6" r:id="rId3" xr:uid="{C0A91671-733D-4104-8224-D94FD2AB179A}"/>
    <hyperlink ref="E6" r:id="rId4" xr:uid="{DCECA466-0DE0-4457-B034-240238CA558B}"/>
    <hyperlink ref="D6" r:id="rId5" xr:uid="{CD630D34-4E12-4B2D-B9F7-2DB78F71B5B3}"/>
    <hyperlink ref="O6" r:id="rId6" xr:uid="{BF99AE83-7827-49EF-A893-FA00051EA8C7}"/>
    <hyperlink ref="V6" r:id="rId7" xr:uid="{372D07C5-5C6A-4191-B58B-3C5645855FA6}"/>
    <hyperlink ref="Z6" r:id="rId8" xr:uid="{8D192017-43A4-474B-A3CA-6BD7DFC52B49}"/>
    <hyperlink ref="K6" r:id="rId9" xr:uid="{1222D5A6-1D33-4F5A-A5BB-DB22A8C2FCAF}"/>
    <hyperlink ref="AP6" r:id="rId10" xr:uid="{17648F3E-B024-41B3-A814-497777E7ADF9}"/>
    <hyperlink ref="AR6" r:id="rId11" xr:uid="{97C0B60A-4A9B-4778-8FA0-D58CE0920BA9}"/>
    <hyperlink ref="P6" r:id="rId12" xr:uid="{FB052A84-0054-4BEF-A0BE-1128EBCB085F}"/>
    <hyperlink ref="AJ6" r:id="rId13" xr:uid="{4A70B1DB-B1CA-4AF4-8D87-C92D6E33BAFB}"/>
    <hyperlink ref="U6" r:id="rId14" xr:uid="{DB3250AF-3AA0-45DA-962B-4B31B1ADA750}"/>
    <hyperlink ref="AD6" r:id="rId15" xr:uid="{16FA25E2-C106-40D4-B347-4B14CB8EE5BA}"/>
    <hyperlink ref="AF6" r:id="rId16" display="https://www.ecn.nl/publications/PdfFetch.aspx?nr=ECN-L--13-038" xr:uid="{89F06AB6-B860-4C19-AD4E-7C355B9A44E8}"/>
    <hyperlink ref="AT6" r:id="rId17" xr:uid="{EC96E2F7-79CE-4DB4-8FA8-05FBBC4436A6}"/>
    <hyperlink ref="Y6" r:id="rId18" xr:uid="{57CB1674-F303-4F3C-ACE0-9F0747373DAF}"/>
    <hyperlink ref="H145" r:id="rId19" xr:uid="{C5BFB129-455E-4A48-B91A-9B2CC0CD39AD}"/>
    <hyperlink ref="H100" r:id="rId20" location="verge%20grass" xr:uid="{9F53573B-A1DE-4155-B202-1882CA635FD7}"/>
    <hyperlink ref="H97" r:id="rId21" location="verge%20grass" xr:uid="{5223889E-D0F1-4F59-9E52-D0DE9EE94AAC}"/>
    <hyperlink ref="H148" r:id="rId22" xr:uid="{7F67E362-3F6C-4ACF-B2C4-DA801EB31C8D}"/>
    <hyperlink ref="H146" r:id="rId23" xr:uid="{3218DCE5-6AB2-4FC7-8DB7-2EC160379256}"/>
    <hyperlink ref="R6" r:id="rId24" xr:uid="{17E86F65-52EF-4BE1-9A6D-09BD97C956D1}"/>
    <hyperlink ref="H203" r:id="rId25" xr:uid="{015C4B4A-133C-469D-B5B3-993B67C37C84}"/>
    <hyperlink ref="H114" r:id="rId26" xr:uid="{EA1AEE45-88BA-4D84-BB8C-998C48244C34}"/>
    <hyperlink ref="H222" r:id="rId27" xr:uid="{F9945278-9445-46B2-AD8E-298D20D39BA0}"/>
    <hyperlink ref="H130" r:id="rId28" xr:uid="{CE64C2A9-C8A1-4C32-9C03-CA48536A6863}"/>
    <hyperlink ref="AC6" r:id="rId29" xr:uid="{0454C8DE-43FA-44F4-89EA-E46366FC3C5A}"/>
    <hyperlink ref="AB6" r:id="rId30" xr:uid="{2E811A54-5CCB-4E06-B480-F87775060EE2}"/>
    <hyperlink ref="AH6" r:id="rId31" xr:uid="{F033067E-51A1-45FE-8115-502B77936CF6}"/>
    <hyperlink ref="L6" r:id="rId32" xr:uid="{E0CCAB63-4D54-4EB5-87D7-735CEDB67AA6}"/>
    <hyperlink ref="AL6" r:id="rId33" xr:uid="{B7895E67-8050-45CD-83AC-683297DC82F7}"/>
    <hyperlink ref="F52" r:id="rId34" xr:uid="{B7DB01DA-E6D3-4E2A-89D0-67839FD8C80B}"/>
    <hyperlink ref="E52" r:id="rId35" xr:uid="{499EFBDC-7DDA-4031-92DF-22F86F90DC99}"/>
    <hyperlink ref="G52" r:id="rId36" display="https://bioblocks.nl/" xr:uid="{A8739BB9-3057-43DD-8269-5C5D594D54EB}"/>
    <hyperlink ref="K52" r:id="rId37" xr:uid="{1B28433E-0BAD-4F25-96FA-0E651FA3F97B}"/>
    <hyperlink ref="H6" r:id="rId38" xr:uid="{27F5413A-BEA9-422F-9A51-4260C635705F}"/>
    <hyperlink ref="J52" r:id="rId39" xr:uid="{D1B66710-A003-4A20-80F3-78FBB9E64207}"/>
    <hyperlink ref="H52" r:id="rId40" display="http://www.npsp.nl/page.asp?ID=14" xr:uid="{9650C522-D5F4-4D13-B580-D9A18701F99A}"/>
    <hyperlink ref="N52" r:id="rId41" xr:uid="{CE5572DA-6F1A-4129-9DF3-9F4D3EB324B5}"/>
    <hyperlink ref="Q52" r:id="rId42" xr:uid="{71A84942-BA35-4925-A4F7-BC80C308A60E}"/>
    <hyperlink ref="I52" r:id="rId43" xr:uid="{6D1DA429-D730-436D-B098-75A1A954D02E}"/>
    <hyperlink ref="S52" r:id="rId44" xr:uid="{6F9B5446-4DC6-4640-86DD-E72E42EB3F44}"/>
    <hyperlink ref="R52" r:id="rId45" xr:uid="{2E87F0D8-045E-4B28-8B48-9CB1FD11EBB3}"/>
    <hyperlink ref="E65" r:id="rId46" xr:uid="{85A283BB-A285-44B9-A71E-1F7D75C3B416}"/>
    <hyperlink ref="H141" r:id="rId47" xr:uid="{C05D5D7A-B37D-4CCD-A120-C40BB2463BB2}"/>
    <hyperlink ref="H140" r:id="rId48" xr:uid="{77782E35-A06B-4BD1-9296-0B51F44CD4CA}"/>
    <hyperlink ref="M52" r:id="rId49" xr:uid="{75401FAE-B52F-447B-B8E2-35CA6B41A5B8}"/>
    <hyperlink ref="Q6" r:id="rId50" xr:uid="{600B1FA3-8714-4826-8574-BDBEB0BAD131}"/>
    <hyperlink ref="O52" r:id="rId51" xr:uid="{9F6AB40F-2519-4C26-8AB3-7F986A87BCE4}"/>
    <hyperlink ref="H158" r:id="rId52" xr:uid="{B4B4B42D-DA55-41C2-8E4B-1CB2DE1CBEB8}"/>
  </hyperlinks>
  <pageMargins left="0.7" right="0.7" top="0.75" bottom="0.75" header="0.3" footer="0.3"/>
  <pageSetup paperSize="25" orientation="landscape" r:id="rId53"/>
  <drawing r:id="rId54"/>
  <legacy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9E5B-3878-4CC8-A55C-688743745E01}">
  <dimension ref="A2:Q40"/>
  <sheetViews>
    <sheetView tabSelected="1" topLeftCell="A3" zoomScale="85" zoomScaleNormal="85" workbookViewId="0">
      <pane xSplit="5" ySplit="1" topLeftCell="G13" activePane="bottomRight" state="frozen"/>
      <selection activeCell="A3" sqref="A3"/>
      <selection pane="topRight" activeCell="F3" sqref="F3"/>
      <selection pane="bottomLeft" activeCell="A4" sqref="A4"/>
      <selection pane="bottomRight" activeCell="P25" sqref="P25"/>
    </sheetView>
  </sheetViews>
  <sheetFormatPr defaultColWidth="9.140625" defaultRowHeight="15" x14ac:dyDescent="0.25"/>
  <cols>
    <col min="1" max="1" width="9.140625" style="300"/>
    <col min="2" max="2" width="19.5703125" style="300" customWidth="1"/>
    <col min="3" max="3" width="23.85546875" style="300" bestFit="1" customWidth="1"/>
    <col min="4" max="10" width="22.28515625" style="300" customWidth="1"/>
    <col min="11" max="11" width="20.5703125" style="300" bestFit="1" customWidth="1"/>
    <col min="12" max="13" width="22.28515625" style="300" customWidth="1"/>
    <col min="14" max="14" width="28.28515625" style="300" bestFit="1" customWidth="1"/>
    <col min="15" max="17" width="22.28515625" style="300" customWidth="1"/>
    <col min="18" max="16384" width="9.140625" style="300"/>
  </cols>
  <sheetData>
    <row r="2" spans="1:17" ht="23.25" x14ac:dyDescent="0.35">
      <c r="B2" s="391" t="s">
        <v>491</v>
      </c>
    </row>
    <row r="3" spans="1:17" s="370" customFormat="1" ht="129" customHeight="1" x14ac:dyDescent="0.25">
      <c r="B3" s="370" t="s">
        <v>450</v>
      </c>
      <c r="C3" s="370" t="s">
        <v>1</v>
      </c>
      <c r="D3" s="370" t="s">
        <v>20</v>
      </c>
      <c r="E3" s="370" t="s">
        <v>488</v>
      </c>
      <c r="F3" s="371" t="s">
        <v>479</v>
      </c>
      <c r="G3" s="371" t="s">
        <v>514</v>
      </c>
      <c r="H3" s="371" t="s">
        <v>480</v>
      </c>
      <c r="I3" s="371" t="s">
        <v>558</v>
      </c>
      <c r="J3" s="371" t="s">
        <v>481</v>
      </c>
      <c r="K3" s="371" t="s">
        <v>565</v>
      </c>
      <c r="L3" s="371" t="s">
        <v>482</v>
      </c>
      <c r="M3" s="371" t="s">
        <v>483</v>
      </c>
      <c r="N3" s="371" t="s">
        <v>484</v>
      </c>
      <c r="O3" s="371" t="s">
        <v>485</v>
      </c>
      <c r="P3" s="371" t="s">
        <v>486</v>
      </c>
      <c r="Q3" s="372" t="s">
        <v>487</v>
      </c>
    </row>
    <row r="4" spans="1:17" ht="18.75" x14ac:dyDescent="0.25">
      <c r="A4" s="373">
        <v>1</v>
      </c>
      <c r="B4" s="429" t="s">
        <v>21</v>
      </c>
      <c r="C4" s="430" t="s">
        <v>451</v>
      </c>
      <c r="D4" s="430" t="s">
        <v>518</v>
      </c>
      <c r="E4" s="431">
        <f>SUM(F4:Q4)</f>
        <v>68</v>
      </c>
      <c r="F4" s="431">
        <f>D28</f>
        <v>1</v>
      </c>
      <c r="G4" s="431">
        <f>G28</f>
        <v>9</v>
      </c>
      <c r="H4" s="431">
        <f>G28</f>
        <v>9</v>
      </c>
      <c r="I4" s="431">
        <f>G28</f>
        <v>9</v>
      </c>
      <c r="J4" s="431">
        <f>G28</f>
        <v>9</v>
      </c>
      <c r="K4" s="431">
        <f>D28</f>
        <v>1</v>
      </c>
      <c r="L4" s="431">
        <f>E28</f>
        <v>3</v>
      </c>
      <c r="M4" s="431">
        <f>F28</f>
        <v>6</v>
      </c>
      <c r="N4" s="431">
        <f>E28</f>
        <v>3</v>
      </c>
      <c r="O4" s="431">
        <f>F28</f>
        <v>6</v>
      </c>
      <c r="P4" s="431">
        <f>F28</f>
        <v>6</v>
      </c>
      <c r="Q4" s="431">
        <f>F28</f>
        <v>6</v>
      </c>
    </row>
    <row r="5" spans="1:17" ht="18.75" x14ac:dyDescent="0.25">
      <c r="A5" s="373">
        <v>2</v>
      </c>
      <c r="B5" s="398" t="s">
        <v>21</v>
      </c>
      <c r="C5" s="369" t="s">
        <v>452</v>
      </c>
      <c r="D5" s="369" t="s">
        <v>474</v>
      </c>
      <c r="E5" s="420">
        <f>SUM(F5:Q5)</f>
        <v>73</v>
      </c>
      <c r="F5" s="420">
        <f>D28</f>
        <v>1</v>
      </c>
      <c r="G5" s="420">
        <f>G28</f>
        <v>9</v>
      </c>
      <c r="H5" s="420">
        <f>G28</f>
        <v>9</v>
      </c>
      <c r="I5" s="420">
        <f>G28</f>
        <v>9</v>
      </c>
      <c r="J5" s="420">
        <f>F28</f>
        <v>6</v>
      </c>
      <c r="K5" s="420">
        <f>F28</f>
        <v>6</v>
      </c>
      <c r="L5" s="420">
        <f>E28</f>
        <v>3</v>
      </c>
      <c r="M5" s="420">
        <f>F28</f>
        <v>6</v>
      </c>
      <c r="N5" s="420">
        <f>E28</f>
        <v>3</v>
      </c>
      <c r="O5" s="420">
        <f>F28</f>
        <v>6</v>
      </c>
      <c r="P5" s="420">
        <f>F28</f>
        <v>6</v>
      </c>
      <c r="Q5" s="420">
        <f>G28</f>
        <v>9</v>
      </c>
    </row>
    <row r="6" spans="1:17" ht="18.75" x14ac:dyDescent="0.25">
      <c r="A6" s="373">
        <v>3</v>
      </c>
      <c r="B6" s="398" t="s">
        <v>21</v>
      </c>
      <c r="C6" s="369" t="s">
        <v>510</v>
      </c>
      <c r="D6" s="369" t="s">
        <v>455</v>
      </c>
      <c r="E6" s="420">
        <f>SUM(F6:Q6)</f>
        <v>58</v>
      </c>
      <c r="F6" s="420">
        <f>F28</f>
        <v>6</v>
      </c>
      <c r="G6" s="420">
        <f>F28</f>
        <v>6</v>
      </c>
      <c r="H6" s="420">
        <f>F28</f>
        <v>6</v>
      </c>
      <c r="I6" s="420">
        <f>F28</f>
        <v>6</v>
      </c>
      <c r="J6" s="420">
        <f>D28</f>
        <v>1</v>
      </c>
      <c r="K6" s="420">
        <f>F28</f>
        <v>6</v>
      </c>
      <c r="L6" s="420">
        <f>E28</f>
        <v>3</v>
      </c>
      <c r="M6" s="420">
        <f>F28</f>
        <v>6</v>
      </c>
      <c r="N6" s="420">
        <f>E28</f>
        <v>3</v>
      </c>
      <c r="O6" s="420">
        <f>E28</f>
        <v>3</v>
      </c>
      <c r="P6" s="420">
        <f>E28</f>
        <v>3</v>
      </c>
      <c r="Q6" s="420">
        <f>G28</f>
        <v>9</v>
      </c>
    </row>
    <row r="7" spans="1:17" ht="18.75" x14ac:dyDescent="0.25">
      <c r="A7" s="373">
        <v>4</v>
      </c>
      <c r="B7" s="397" t="s">
        <v>31</v>
      </c>
      <c r="C7" s="369" t="s">
        <v>451</v>
      </c>
      <c r="D7" s="369" t="s">
        <v>456</v>
      </c>
      <c r="E7" s="420">
        <f>SUM(F7:Q7)</f>
        <v>55</v>
      </c>
      <c r="F7" s="420">
        <f>D28</f>
        <v>1</v>
      </c>
      <c r="G7" s="420">
        <f>E28</f>
        <v>3</v>
      </c>
      <c r="H7" s="420">
        <f>E28</f>
        <v>3</v>
      </c>
      <c r="I7" s="420">
        <f>E28</f>
        <v>3</v>
      </c>
      <c r="J7" s="420">
        <f>G28</f>
        <v>9</v>
      </c>
      <c r="K7" s="420">
        <f>F28</f>
        <v>6</v>
      </c>
      <c r="L7" s="420">
        <f>F28</f>
        <v>6</v>
      </c>
      <c r="M7" s="420">
        <f>E28</f>
        <v>3</v>
      </c>
      <c r="N7" s="420">
        <f>F28</f>
        <v>6</v>
      </c>
      <c r="O7" s="420">
        <f>E28</f>
        <v>3</v>
      </c>
      <c r="P7" s="420">
        <f>G28</f>
        <v>9</v>
      </c>
      <c r="Q7" s="420">
        <f>E28</f>
        <v>3</v>
      </c>
    </row>
    <row r="8" spans="1:17" ht="18.75" x14ac:dyDescent="0.25">
      <c r="A8" s="373">
        <v>5</v>
      </c>
      <c r="B8" s="397" t="s">
        <v>31</v>
      </c>
      <c r="C8" s="369" t="s">
        <v>457</v>
      </c>
      <c r="D8" s="369" t="s">
        <v>453</v>
      </c>
      <c r="E8" s="420">
        <f>SUM(F8:Q8)</f>
        <v>60</v>
      </c>
      <c r="F8" s="420">
        <f>F28</f>
        <v>6</v>
      </c>
      <c r="G8" s="420">
        <f>E28</f>
        <v>3</v>
      </c>
      <c r="H8" s="420">
        <f>E28</f>
        <v>3</v>
      </c>
      <c r="I8" s="420">
        <f>E28</f>
        <v>3</v>
      </c>
      <c r="J8" s="420">
        <f>G28</f>
        <v>9</v>
      </c>
      <c r="K8" s="420">
        <f>E28</f>
        <v>3</v>
      </c>
      <c r="L8" s="420">
        <f>F28</f>
        <v>6</v>
      </c>
      <c r="M8" s="420">
        <f>E28</f>
        <v>3</v>
      </c>
      <c r="N8" s="420">
        <f>F28</f>
        <v>6</v>
      </c>
      <c r="O8" s="420">
        <f>E28</f>
        <v>3</v>
      </c>
      <c r="P8" s="420">
        <f>G28</f>
        <v>9</v>
      </c>
      <c r="Q8" s="420">
        <f>F28</f>
        <v>6</v>
      </c>
    </row>
    <row r="9" spans="1:17" ht="18.75" x14ac:dyDescent="0.25">
      <c r="A9" s="373">
        <v>6</v>
      </c>
      <c r="B9" s="397" t="s">
        <v>31</v>
      </c>
      <c r="C9" s="369" t="s">
        <v>457</v>
      </c>
      <c r="D9" s="369" t="s">
        <v>25</v>
      </c>
      <c r="E9" s="420">
        <f>SUM(F9:Q9)</f>
        <v>47</v>
      </c>
      <c r="F9" s="420">
        <f>E28</f>
        <v>3</v>
      </c>
      <c r="G9" s="420">
        <f>D28</f>
        <v>1</v>
      </c>
      <c r="H9" s="420">
        <f>D28</f>
        <v>1</v>
      </c>
      <c r="I9" s="420">
        <f>E28</f>
        <v>3</v>
      </c>
      <c r="J9" s="420">
        <f>F28</f>
        <v>6</v>
      </c>
      <c r="K9" s="420">
        <f>E28</f>
        <v>3</v>
      </c>
      <c r="L9" s="420">
        <f>F28</f>
        <v>6</v>
      </c>
      <c r="M9" s="420">
        <f>E28</f>
        <v>3</v>
      </c>
      <c r="N9" s="420">
        <f>F28</f>
        <v>6</v>
      </c>
      <c r="O9" s="420">
        <f>E28</f>
        <v>3</v>
      </c>
      <c r="P9" s="420">
        <f>G28</f>
        <v>9</v>
      </c>
      <c r="Q9" s="420">
        <f>E28</f>
        <v>3</v>
      </c>
    </row>
    <row r="10" spans="1:17" ht="18.75" x14ac:dyDescent="0.25">
      <c r="A10" s="373">
        <v>7</v>
      </c>
      <c r="B10" s="397" t="s">
        <v>31</v>
      </c>
      <c r="C10" s="369" t="s">
        <v>457</v>
      </c>
      <c r="D10" s="369" t="s">
        <v>24</v>
      </c>
      <c r="E10" s="420">
        <f>SUM(F10:Q10)</f>
        <v>60</v>
      </c>
      <c r="F10" s="420">
        <f>E28</f>
        <v>3</v>
      </c>
      <c r="G10" s="420">
        <f>E28</f>
        <v>3</v>
      </c>
      <c r="H10" s="420">
        <f>E28</f>
        <v>3</v>
      </c>
      <c r="I10" s="420">
        <f>E28</f>
        <v>3</v>
      </c>
      <c r="J10" s="420">
        <f>G28</f>
        <v>9</v>
      </c>
      <c r="K10" s="420">
        <f>F28</f>
        <v>6</v>
      </c>
      <c r="L10" s="420">
        <f>F28</f>
        <v>6</v>
      </c>
      <c r="M10" s="420">
        <f>E28</f>
        <v>3</v>
      </c>
      <c r="N10" s="420">
        <f>F28</f>
        <v>6</v>
      </c>
      <c r="O10" s="420">
        <f>F28</f>
        <v>6</v>
      </c>
      <c r="P10" s="420">
        <f>G28</f>
        <v>9</v>
      </c>
      <c r="Q10" s="420">
        <f>E28</f>
        <v>3</v>
      </c>
    </row>
    <row r="11" spans="1:17" ht="18.75" x14ac:dyDescent="0.25">
      <c r="A11" s="373">
        <v>8</v>
      </c>
      <c r="B11" s="397" t="s">
        <v>31</v>
      </c>
      <c r="C11" s="369" t="s">
        <v>512</v>
      </c>
      <c r="D11" s="369" t="s">
        <v>207</v>
      </c>
      <c r="E11" s="420">
        <f>SUM(F11:Q11)</f>
        <v>57</v>
      </c>
      <c r="F11" s="420">
        <f>D28</f>
        <v>1</v>
      </c>
      <c r="G11" s="420">
        <f>E28</f>
        <v>3</v>
      </c>
      <c r="H11" s="420">
        <f>D28</f>
        <v>1</v>
      </c>
      <c r="I11" s="420">
        <f>D28</f>
        <v>1</v>
      </c>
      <c r="J11" s="420">
        <f>G28</f>
        <v>9</v>
      </c>
      <c r="K11" s="420">
        <f>F28</f>
        <v>6</v>
      </c>
      <c r="L11" s="420">
        <f>G28</f>
        <v>9</v>
      </c>
      <c r="M11" s="420">
        <f>E28</f>
        <v>3</v>
      </c>
      <c r="N11" s="420">
        <f>F28</f>
        <v>6</v>
      </c>
      <c r="O11" s="420">
        <f>F28</f>
        <v>6</v>
      </c>
      <c r="P11" s="420">
        <f>G28</f>
        <v>9</v>
      </c>
      <c r="Q11" s="420">
        <f>E28</f>
        <v>3</v>
      </c>
    </row>
    <row r="12" spans="1:17" ht="18.75" x14ac:dyDescent="0.25">
      <c r="A12" s="373">
        <v>9</v>
      </c>
      <c r="B12" s="396" t="s">
        <v>281</v>
      </c>
      <c r="C12" s="369" t="s">
        <v>556</v>
      </c>
      <c r="D12" s="369" t="s">
        <v>518</v>
      </c>
      <c r="E12" s="420">
        <f>SUM(F12:Q12)</f>
        <v>63</v>
      </c>
      <c r="F12" s="420">
        <f>D28</f>
        <v>1</v>
      </c>
      <c r="G12" s="420">
        <f>G28</f>
        <v>9</v>
      </c>
      <c r="H12" s="420">
        <f>G28</f>
        <v>9</v>
      </c>
      <c r="I12" s="420">
        <f>G28</f>
        <v>9</v>
      </c>
      <c r="J12" s="420">
        <f>G28</f>
        <v>9</v>
      </c>
      <c r="K12" s="420">
        <f>D28</f>
        <v>1</v>
      </c>
      <c r="L12" s="420">
        <f>E28</f>
        <v>3</v>
      </c>
      <c r="M12" s="420">
        <f>E28</f>
        <v>3</v>
      </c>
      <c r="N12" s="420">
        <f>F28</f>
        <v>6</v>
      </c>
      <c r="O12" s="420">
        <f>F28</f>
        <v>6</v>
      </c>
      <c r="P12" s="420">
        <f>F28</f>
        <v>6</v>
      </c>
      <c r="Q12" s="420">
        <f>D28</f>
        <v>1</v>
      </c>
    </row>
    <row r="13" spans="1:17" ht="18.75" x14ac:dyDescent="0.25">
      <c r="A13" s="373">
        <v>10</v>
      </c>
      <c r="B13" s="396" t="s">
        <v>281</v>
      </c>
      <c r="C13" s="369" t="s">
        <v>557</v>
      </c>
      <c r="D13" s="369" t="s">
        <v>524</v>
      </c>
      <c r="E13" s="420">
        <f>SUM(F13:Q13)</f>
        <v>69</v>
      </c>
      <c r="F13" s="420">
        <f>G28</f>
        <v>9</v>
      </c>
      <c r="G13" s="420">
        <f>G28</f>
        <v>9</v>
      </c>
      <c r="H13" s="420">
        <f>F28</f>
        <v>6</v>
      </c>
      <c r="I13" s="420">
        <f>G28</f>
        <v>9</v>
      </c>
      <c r="J13" s="420">
        <f>F28</f>
        <v>6</v>
      </c>
      <c r="K13" s="420">
        <f>E28</f>
        <v>3</v>
      </c>
      <c r="L13" s="420">
        <f>F28</f>
        <v>6</v>
      </c>
      <c r="M13" s="420">
        <f>E28</f>
        <v>3</v>
      </c>
      <c r="N13" s="420">
        <f>F28</f>
        <v>6</v>
      </c>
      <c r="O13" s="420">
        <f>F28</f>
        <v>6</v>
      </c>
      <c r="P13" s="420">
        <f>E28</f>
        <v>3</v>
      </c>
      <c r="Q13" s="420">
        <f>E28</f>
        <v>3</v>
      </c>
    </row>
    <row r="14" spans="1:17" ht="18.75" x14ac:dyDescent="0.25">
      <c r="A14" s="373">
        <v>12</v>
      </c>
      <c r="B14" s="396" t="s">
        <v>281</v>
      </c>
      <c r="C14" s="369" t="s">
        <v>14</v>
      </c>
      <c r="D14" s="369" t="s">
        <v>282</v>
      </c>
      <c r="E14" s="420">
        <f>SUM(F14:Q14)</f>
        <v>73</v>
      </c>
      <c r="F14" s="420">
        <f>G28</f>
        <v>9</v>
      </c>
      <c r="G14" s="420">
        <f>G28</f>
        <v>9</v>
      </c>
      <c r="H14" s="420">
        <f>G28</f>
        <v>9</v>
      </c>
      <c r="I14" s="420">
        <f>G28</f>
        <v>9</v>
      </c>
      <c r="J14" s="420">
        <f>G28</f>
        <v>9</v>
      </c>
      <c r="K14" s="420">
        <f>D28</f>
        <v>1</v>
      </c>
      <c r="L14" s="420">
        <f>E28</f>
        <v>3</v>
      </c>
      <c r="M14" s="420">
        <f>E28</f>
        <v>3</v>
      </c>
      <c r="N14" s="420">
        <f>F28</f>
        <v>6</v>
      </c>
      <c r="O14" s="420">
        <f>F28</f>
        <v>6</v>
      </c>
      <c r="P14" s="420">
        <f>F28</f>
        <v>6</v>
      </c>
      <c r="Q14" s="420">
        <f>E28</f>
        <v>3</v>
      </c>
    </row>
    <row r="15" spans="1:17" ht="18.75" x14ac:dyDescent="0.25">
      <c r="A15" s="373">
        <v>13</v>
      </c>
      <c r="B15" s="396" t="s">
        <v>281</v>
      </c>
      <c r="C15" s="369" t="s">
        <v>530</v>
      </c>
      <c r="D15" s="369" t="s">
        <v>34</v>
      </c>
      <c r="E15" s="420">
        <f>SUM(F15:Q15)</f>
        <v>73</v>
      </c>
      <c r="F15" s="420">
        <f>G28</f>
        <v>9</v>
      </c>
      <c r="G15" s="420">
        <f>G28</f>
        <v>9</v>
      </c>
      <c r="H15" s="420">
        <f>G28</f>
        <v>9</v>
      </c>
      <c r="I15" s="420">
        <f>G28</f>
        <v>9</v>
      </c>
      <c r="J15" s="420">
        <f>G28</f>
        <v>9</v>
      </c>
      <c r="K15" s="420">
        <f>E28</f>
        <v>3</v>
      </c>
      <c r="L15" s="420">
        <f>E28</f>
        <v>3</v>
      </c>
      <c r="M15" s="420">
        <f>E28</f>
        <v>3</v>
      </c>
      <c r="N15" s="420">
        <f>F28</f>
        <v>6</v>
      </c>
      <c r="O15" s="420">
        <f>F28</f>
        <v>6</v>
      </c>
      <c r="P15" s="420">
        <f>F28</f>
        <v>6</v>
      </c>
      <c r="Q15" s="420">
        <f>D28</f>
        <v>1</v>
      </c>
    </row>
    <row r="16" spans="1:17" ht="18.75" x14ac:dyDescent="0.25">
      <c r="A16" s="373">
        <v>14</v>
      </c>
      <c r="B16" s="396" t="s">
        <v>281</v>
      </c>
      <c r="C16" s="369" t="s">
        <v>531</v>
      </c>
      <c r="D16" s="369" t="s">
        <v>34</v>
      </c>
      <c r="E16" s="420">
        <f>SUM(F16:Q16)</f>
        <v>73</v>
      </c>
      <c r="F16" s="420">
        <f>G28</f>
        <v>9</v>
      </c>
      <c r="G16" s="420">
        <f>G28</f>
        <v>9</v>
      </c>
      <c r="H16" s="420">
        <f>G28</f>
        <v>9</v>
      </c>
      <c r="I16" s="420">
        <f>F28</f>
        <v>6</v>
      </c>
      <c r="J16" s="420">
        <f>G28</f>
        <v>9</v>
      </c>
      <c r="K16" s="420">
        <f>E28</f>
        <v>3</v>
      </c>
      <c r="L16" s="420">
        <f>E28</f>
        <v>3</v>
      </c>
      <c r="M16" s="420">
        <f>E28</f>
        <v>3</v>
      </c>
      <c r="N16" s="420">
        <f>G28</f>
        <v>9</v>
      </c>
      <c r="O16" s="420">
        <f>F28</f>
        <v>6</v>
      </c>
      <c r="P16" s="420">
        <f>F28</f>
        <v>6</v>
      </c>
      <c r="Q16" s="420">
        <f>D28</f>
        <v>1</v>
      </c>
    </row>
    <row r="17" spans="1:17" ht="18.75" x14ac:dyDescent="0.25">
      <c r="A17" s="373">
        <v>15</v>
      </c>
      <c r="B17" s="396" t="s">
        <v>281</v>
      </c>
      <c r="C17" s="369" t="s">
        <v>452</v>
      </c>
      <c r="D17" s="369" t="s">
        <v>463</v>
      </c>
      <c r="E17" s="420">
        <f>SUM(F17:Q17)</f>
        <v>58</v>
      </c>
      <c r="F17" s="420">
        <f>D28</f>
        <v>1</v>
      </c>
      <c r="G17" s="420">
        <f>F28</f>
        <v>6</v>
      </c>
      <c r="H17" s="420">
        <f>E28</f>
        <v>3</v>
      </c>
      <c r="I17" s="420">
        <f>E28</f>
        <v>3</v>
      </c>
      <c r="J17" s="420">
        <f>G28</f>
        <v>9</v>
      </c>
      <c r="K17" s="420">
        <f>G28</f>
        <v>9</v>
      </c>
      <c r="L17" s="420">
        <f>F28</f>
        <v>6</v>
      </c>
      <c r="M17" s="420">
        <f>E28</f>
        <v>3</v>
      </c>
      <c r="N17" s="420">
        <f>F28</f>
        <v>6</v>
      </c>
      <c r="O17" s="420">
        <f>F28</f>
        <v>6</v>
      </c>
      <c r="P17" s="420">
        <f>E28</f>
        <v>3</v>
      </c>
      <c r="Q17" s="420">
        <f>E28</f>
        <v>3</v>
      </c>
    </row>
    <row r="18" spans="1:17" ht="18.75" x14ac:dyDescent="0.25">
      <c r="A18" s="373">
        <v>16</v>
      </c>
      <c r="B18" s="395" t="s">
        <v>311</v>
      </c>
      <c r="C18" s="369" t="s">
        <v>13</v>
      </c>
      <c r="D18" s="369" t="s">
        <v>475</v>
      </c>
      <c r="E18" s="420">
        <f>SUM(F18:Q18)</f>
        <v>73</v>
      </c>
      <c r="F18" s="420">
        <f>G28</f>
        <v>9</v>
      </c>
      <c r="G18" s="420">
        <f>E28</f>
        <v>3</v>
      </c>
      <c r="H18" s="420">
        <f>F28</f>
        <v>6</v>
      </c>
      <c r="I18" s="420">
        <f>E28</f>
        <v>3</v>
      </c>
      <c r="J18" s="420">
        <f>F28</f>
        <v>6</v>
      </c>
      <c r="K18" s="420">
        <f>F28</f>
        <v>6</v>
      </c>
      <c r="L18" s="420">
        <f>G28</f>
        <v>9</v>
      </c>
      <c r="M18" s="420">
        <f>D28</f>
        <v>1</v>
      </c>
      <c r="N18" s="420">
        <f>G28</f>
        <v>9</v>
      </c>
      <c r="O18" s="420">
        <f>G28</f>
        <v>9</v>
      </c>
      <c r="P18" s="420">
        <f>E28</f>
        <v>3</v>
      </c>
      <c r="Q18" s="420">
        <f>G28</f>
        <v>9</v>
      </c>
    </row>
    <row r="19" spans="1:17" ht="18.75" x14ac:dyDescent="0.25">
      <c r="A19" s="373">
        <v>17</v>
      </c>
      <c r="B19" s="395" t="s">
        <v>311</v>
      </c>
      <c r="C19" s="369" t="s">
        <v>14</v>
      </c>
      <c r="D19" s="369" t="s">
        <v>36</v>
      </c>
      <c r="E19" s="420">
        <f>SUM(F19:Q19)</f>
        <v>59</v>
      </c>
      <c r="F19" s="420">
        <f>G28</f>
        <v>9</v>
      </c>
      <c r="G19" s="420">
        <f>E28</f>
        <v>3</v>
      </c>
      <c r="H19" s="420">
        <f>E28</f>
        <v>3</v>
      </c>
      <c r="I19" s="420">
        <f>D28</f>
        <v>1</v>
      </c>
      <c r="J19" s="420">
        <f>E28</f>
        <v>3</v>
      </c>
      <c r="K19" s="420">
        <f>F28</f>
        <v>6</v>
      </c>
      <c r="L19" s="420">
        <f>G28</f>
        <v>9</v>
      </c>
      <c r="M19" s="420">
        <f>D28</f>
        <v>1</v>
      </c>
      <c r="N19" s="420">
        <f>F28</f>
        <v>6</v>
      </c>
      <c r="O19" s="420">
        <f>G28</f>
        <v>9</v>
      </c>
      <c r="P19" s="420">
        <f>E28</f>
        <v>3</v>
      </c>
      <c r="Q19" s="420">
        <f>F28</f>
        <v>6</v>
      </c>
    </row>
    <row r="20" spans="1:17" ht="18.75" x14ac:dyDescent="0.25">
      <c r="A20" s="373">
        <v>18</v>
      </c>
      <c r="B20" s="395" t="s">
        <v>311</v>
      </c>
      <c r="C20" s="369" t="s">
        <v>458</v>
      </c>
      <c r="D20" s="369" t="s">
        <v>311</v>
      </c>
      <c r="E20" s="420">
        <f>SUM(F20:Q20)</f>
        <v>52</v>
      </c>
      <c r="F20" s="420">
        <f>G28</f>
        <v>9</v>
      </c>
      <c r="G20" s="420">
        <f>D28</f>
        <v>1</v>
      </c>
      <c r="H20" s="420">
        <f>E28</f>
        <v>3</v>
      </c>
      <c r="I20" s="420">
        <f>E28</f>
        <v>3</v>
      </c>
      <c r="J20" s="420">
        <f>G28</f>
        <v>9</v>
      </c>
      <c r="K20" s="420">
        <f>D28</f>
        <v>1</v>
      </c>
      <c r="L20" s="420">
        <f>F28</f>
        <v>6</v>
      </c>
      <c r="M20" s="420">
        <f>D28</f>
        <v>1</v>
      </c>
      <c r="N20" s="420">
        <f>G28</f>
        <v>9</v>
      </c>
      <c r="O20" s="420">
        <f>F28</f>
        <v>6</v>
      </c>
      <c r="P20" s="420">
        <f>D28</f>
        <v>1</v>
      </c>
      <c r="Q20" s="420">
        <f>E28</f>
        <v>3</v>
      </c>
    </row>
    <row r="21" spans="1:17" ht="18.75" x14ac:dyDescent="0.25">
      <c r="A21" s="373">
        <v>19</v>
      </c>
      <c r="B21" s="395" t="s">
        <v>311</v>
      </c>
      <c r="C21" s="369" t="s">
        <v>259</v>
      </c>
      <c r="D21" s="369" t="s">
        <v>38</v>
      </c>
      <c r="E21" s="420">
        <f>SUM(F21:Q21)</f>
        <v>65</v>
      </c>
      <c r="F21" s="420">
        <f>G28</f>
        <v>9</v>
      </c>
      <c r="G21" s="420">
        <f>E28</f>
        <v>3</v>
      </c>
      <c r="H21" s="420">
        <f>F28</f>
        <v>6</v>
      </c>
      <c r="I21" s="420">
        <f>D28</f>
        <v>1</v>
      </c>
      <c r="J21" s="420">
        <f>F28</f>
        <v>6</v>
      </c>
      <c r="K21" s="420">
        <f>F28</f>
        <v>6</v>
      </c>
      <c r="L21" s="420">
        <f>G28</f>
        <v>9</v>
      </c>
      <c r="M21" s="420">
        <f>D28</f>
        <v>1</v>
      </c>
      <c r="N21" s="420">
        <f>G28</f>
        <v>9</v>
      </c>
      <c r="O21" s="420">
        <f>F28</f>
        <v>6</v>
      </c>
      <c r="P21" s="420">
        <f>E28</f>
        <v>3</v>
      </c>
      <c r="Q21" s="420">
        <f>F28</f>
        <v>6</v>
      </c>
    </row>
    <row r="22" spans="1:17" ht="18.75" x14ac:dyDescent="0.25">
      <c r="A22" s="373">
        <v>20</v>
      </c>
      <c r="B22" s="395" t="s">
        <v>311</v>
      </c>
      <c r="C22" s="369" t="s">
        <v>18</v>
      </c>
      <c r="D22" s="369" t="s">
        <v>476</v>
      </c>
      <c r="E22" s="420">
        <f>SUM(F22:Q22)</f>
        <v>65</v>
      </c>
      <c r="F22" s="420">
        <f>G28</f>
        <v>9</v>
      </c>
      <c r="G22" s="420">
        <f>E28</f>
        <v>3</v>
      </c>
      <c r="H22" s="420">
        <f>F28</f>
        <v>6</v>
      </c>
      <c r="I22" s="420">
        <f>D28</f>
        <v>1</v>
      </c>
      <c r="J22" s="420">
        <f>G28</f>
        <v>9</v>
      </c>
      <c r="K22" s="420">
        <f>F28</f>
        <v>6</v>
      </c>
      <c r="L22" s="420">
        <f>G28</f>
        <v>9</v>
      </c>
      <c r="M22" s="420">
        <f>D28</f>
        <v>1</v>
      </c>
      <c r="N22" s="420">
        <f>G28</f>
        <v>9</v>
      </c>
      <c r="O22" s="420">
        <f>F28</f>
        <v>6</v>
      </c>
      <c r="P22" s="420">
        <f>E28</f>
        <v>3</v>
      </c>
      <c r="Q22" s="420">
        <f>E28</f>
        <v>3</v>
      </c>
    </row>
    <row r="23" spans="1:17" ht="18.75" x14ac:dyDescent="0.25">
      <c r="A23" s="373">
        <v>21</v>
      </c>
      <c r="B23" s="395" t="s">
        <v>311</v>
      </c>
      <c r="C23" s="369" t="s">
        <v>19</v>
      </c>
      <c r="D23" s="369" t="s">
        <v>477</v>
      </c>
      <c r="E23" s="420">
        <f>SUM(F23:Q23)</f>
        <v>56</v>
      </c>
      <c r="F23" s="420">
        <f>G28</f>
        <v>9</v>
      </c>
      <c r="G23" s="420">
        <f>E28</f>
        <v>3</v>
      </c>
      <c r="H23" s="420">
        <f>E28</f>
        <v>3</v>
      </c>
      <c r="I23" s="420">
        <f>D28</f>
        <v>1</v>
      </c>
      <c r="J23" s="420">
        <f>E28</f>
        <v>3</v>
      </c>
      <c r="K23" s="420">
        <f>F28</f>
        <v>6</v>
      </c>
      <c r="L23" s="420">
        <f>G28</f>
        <v>9</v>
      </c>
      <c r="M23" s="420">
        <f>D28</f>
        <v>1</v>
      </c>
      <c r="N23" s="420">
        <f>G28</f>
        <v>9</v>
      </c>
      <c r="O23" s="420">
        <f>F28</f>
        <v>6</v>
      </c>
      <c r="P23" s="420">
        <f>E28</f>
        <v>3</v>
      </c>
      <c r="Q23" s="420">
        <f>E28</f>
        <v>3</v>
      </c>
    </row>
    <row r="27" spans="1:17" ht="24" thickBot="1" x14ac:dyDescent="0.3">
      <c r="B27" s="400" t="s">
        <v>283</v>
      </c>
      <c r="C27" s="401"/>
      <c r="D27" s="401"/>
      <c r="F27" s="301"/>
      <c r="G27" s="301"/>
    </row>
    <row r="28" spans="1:17" ht="19.5" thickTop="1" x14ac:dyDescent="0.25">
      <c r="B28" s="637" t="s">
        <v>284</v>
      </c>
      <c r="C28" s="638"/>
      <c r="D28" s="302">
        <v>1</v>
      </c>
      <c r="E28" s="303">
        <v>3</v>
      </c>
      <c r="F28" s="425">
        <v>6</v>
      </c>
      <c r="G28" s="304">
        <v>9</v>
      </c>
      <c r="J28" s="620" t="s">
        <v>285</v>
      </c>
      <c r="K28" s="621"/>
      <c r="L28" s="621"/>
      <c r="M28" s="621"/>
      <c r="N28" s="622"/>
    </row>
    <row r="29" spans="1:17" ht="39" customHeight="1" x14ac:dyDescent="0.25">
      <c r="B29" s="635" t="s">
        <v>286</v>
      </c>
      <c r="C29" s="636"/>
      <c r="D29" s="310" t="s">
        <v>287</v>
      </c>
      <c r="E29" s="310" t="s">
        <v>288</v>
      </c>
      <c r="F29" s="423" t="s">
        <v>511</v>
      </c>
      <c r="G29" s="310" t="s">
        <v>289</v>
      </c>
      <c r="H29" s="424"/>
      <c r="J29" s="623"/>
      <c r="K29" s="624"/>
      <c r="L29" s="624"/>
      <c r="M29" s="624"/>
      <c r="N29" s="625"/>
    </row>
    <row r="30" spans="1:17" ht="39" customHeight="1" thickBot="1" x14ac:dyDescent="0.3">
      <c r="B30" s="635" t="s">
        <v>515</v>
      </c>
      <c r="C30" s="636"/>
      <c r="D30" s="310" t="s">
        <v>293</v>
      </c>
      <c r="E30" s="310" t="s">
        <v>292</v>
      </c>
      <c r="F30" s="423" t="s">
        <v>291</v>
      </c>
      <c r="G30" s="310" t="s">
        <v>290</v>
      </c>
      <c r="J30" s="626"/>
      <c r="K30" s="627"/>
      <c r="L30" s="627"/>
      <c r="M30" s="627"/>
      <c r="N30" s="628"/>
    </row>
    <row r="31" spans="1:17" ht="39" customHeight="1" thickTop="1" x14ac:dyDescent="0.25">
      <c r="B31" s="635" t="s">
        <v>294</v>
      </c>
      <c r="C31" s="636"/>
      <c r="D31" s="310" t="s">
        <v>295</v>
      </c>
      <c r="E31" s="310" t="s">
        <v>296</v>
      </c>
      <c r="F31" s="423" t="s">
        <v>297</v>
      </c>
      <c r="G31" s="310" t="s">
        <v>298</v>
      </c>
      <c r="H31" s="424"/>
      <c r="J31" s="313" t="s">
        <v>566</v>
      </c>
      <c r="K31" s="312"/>
      <c r="L31" s="312"/>
      <c r="M31" s="312"/>
      <c r="N31" s="314"/>
    </row>
    <row r="32" spans="1:17" ht="39" customHeight="1" x14ac:dyDescent="0.25">
      <c r="B32" s="635" t="s">
        <v>478</v>
      </c>
      <c r="C32" s="636"/>
      <c r="D32" s="310" t="s">
        <v>295</v>
      </c>
      <c r="E32" s="310" t="s">
        <v>296</v>
      </c>
      <c r="F32" s="423" t="s">
        <v>297</v>
      </c>
      <c r="G32" s="310" t="s">
        <v>298</v>
      </c>
      <c r="J32" s="313" t="s">
        <v>567</v>
      </c>
      <c r="K32" s="312"/>
      <c r="L32" s="312"/>
      <c r="M32" s="312"/>
      <c r="N32" s="314"/>
    </row>
    <row r="33" spans="2:14" ht="39" customHeight="1" thickBot="1" x14ac:dyDescent="0.3">
      <c r="B33" s="635" t="s">
        <v>299</v>
      </c>
      <c r="C33" s="636"/>
      <c r="D33" s="310" t="s">
        <v>300</v>
      </c>
      <c r="E33" s="310" t="s">
        <v>301</v>
      </c>
      <c r="F33" s="423" t="s">
        <v>302</v>
      </c>
      <c r="G33" s="310" t="s">
        <v>303</v>
      </c>
      <c r="J33" s="315" t="s">
        <v>568</v>
      </c>
      <c r="K33" s="316"/>
      <c r="L33" s="316"/>
      <c r="M33" s="316"/>
      <c r="N33" s="317"/>
    </row>
    <row r="34" spans="2:14" ht="39" customHeight="1" thickTop="1" x14ac:dyDescent="0.25">
      <c r="B34" s="635" t="s">
        <v>519</v>
      </c>
      <c r="C34" s="636"/>
      <c r="D34" s="310" t="s">
        <v>553</v>
      </c>
      <c r="E34" s="311" t="s">
        <v>552</v>
      </c>
      <c r="F34" s="311" t="s">
        <v>554</v>
      </c>
      <c r="G34" s="426" t="s">
        <v>555</v>
      </c>
    </row>
    <row r="35" spans="2:14" ht="39" customHeight="1" x14ac:dyDescent="0.25">
      <c r="B35" s="635" t="s">
        <v>305</v>
      </c>
      <c r="C35" s="636"/>
      <c r="D35" s="310" t="s">
        <v>306</v>
      </c>
      <c r="E35" s="310" t="s">
        <v>307</v>
      </c>
      <c r="F35" s="310" t="s">
        <v>308</v>
      </c>
      <c r="G35" s="310" t="s">
        <v>309</v>
      </c>
    </row>
    <row r="36" spans="2:14" ht="39" customHeight="1" x14ac:dyDescent="0.25">
      <c r="B36" s="635" t="s">
        <v>310</v>
      </c>
      <c r="C36" s="636"/>
      <c r="D36" s="310" t="s">
        <v>311</v>
      </c>
      <c r="E36" s="310" t="s">
        <v>561</v>
      </c>
      <c r="F36" s="310" t="s">
        <v>559</v>
      </c>
      <c r="G36" s="310" t="s">
        <v>560</v>
      </c>
    </row>
    <row r="37" spans="2:14" ht="39" customHeight="1" x14ac:dyDescent="0.25">
      <c r="B37" s="635" t="s">
        <v>429</v>
      </c>
      <c r="C37" s="636"/>
      <c r="D37" s="310" t="s">
        <v>312</v>
      </c>
      <c r="E37" s="310" t="s">
        <v>313</v>
      </c>
      <c r="F37" s="310" t="s">
        <v>494</v>
      </c>
      <c r="G37" s="310" t="s">
        <v>314</v>
      </c>
    </row>
    <row r="38" spans="2:14" ht="39" customHeight="1" x14ac:dyDescent="0.25">
      <c r="B38" s="635" t="s">
        <v>315</v>
      </c>
      <c r="C38" s="636"/>
      <c r="D38" s="310" t="s">
        <v>316</v>
      </c>
      <c r="E38" s="310" t="s">
        <v>317</v>
      </c>
      <c r="F38" s="310" t="s">
        <v>318</v>
      </c>
      <c r="G38" s="310" t="s">
        <v>319</v>
      </c>
    </row>
    <row r="39" spans="2:14" ht="39" customHeight="1" x14ac:dyDescent="0.25">
      <c r="B39" s="635" t="s">
        <v>320</v>
      </c>
      <c r="C39" s="636"/>
      <c r="D39" s="368" t="s">
        <v>316</v>
      </c>
      <c r="E39" s="368" t="s">
        <v>317</v>
      </c>
      <c r="F39" s="368" t="s">
        <v>318</v>
      </c>
      <c r="G39" s="368" t="s">
        <v>319</v>
      </c>
    </row>
    <row r="40" spans="2:14" ht="39" customHeight="1" x14ac:dyDescent="0.25">
      <c r="B40" s="635" t="s">
        <v>493</v>
      </c>
      <c r="C40" s="636"/>
      <c r="D40" s="406" t="s">
        <v>562</v>
      </c>
      <c r="E40" s="406" t="s">
        <v>304</v>
      </c>
      <c r="F40" s="406" t="s">
        <v>564</v>
      </c>
      <c r="G40" s="406" t="s">
        <v>563</v>
      </c>
    </row>
  </sheetData>
  <autoFilter ref="B3:Q23" xr:uid="{B7089E5B-3878-4CC8-A55C-688743745E01}">
    <sortState xmlns:xlrd2="http://schemas.microsoft.com/office/spreadsheetml/2017/richdata2" ref="B4:Q23">
      <sortCondition sortBy="cellColor" ref="E3:E23" dxfId="5"/>
    </sortState>
  </autoFilter>
  <mergeCells count="14">
    <mergeCell ref="J28:N30"/>
    <mergeCell ref="B29:C29"/>
    <mergeCell ref="B28:C28"/>
    <mergeCell ref="B30:C30"/>
    <mergeCell ref="B31:C31"/>
    <mergeCell ref="B32:C32"/>
    <mergeCell ref="B39:C39"/>
    <mergeCell ref="B40:C40"/>
    <mergeCell ref="B33:C33"/>
    <mergeCell ref="B34:C34"/>
    <mergeCell ref="B35:C35"/>
    <mergeCell ref="B36:C36"/>
    <mergeCell ref="B37:C37"/>
    <mergeCell ref="B38:C38"/>
  </mergeCells>
  <conditionalFormatting sqref="E4:E2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Q23">
    <cfRule type="cellIs" dxfId="3" priority="2" operator="equal">
      <formula>9</formula>
    </cfRule>
    <cfRule type="cellIs" dxfId="2" priority="3" operator="equal">
      <formula>6</formula>
    </cfRule>
    <cfRule type="cellIs" dxfId="1" priority="4" operator="equal">
      <formula>1</formula>
    </cfRule>
    <cfRule type="cellIs" dxfId="0" priority="5" operator="equal">
      <formula>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375D-C601-44BA-A951-57C85CA31345}">
  <dimension ref="A1:M206"/>
  <sheetViews>
    <sheetView topLeftCell="A169" zoomScale="81" zoomScaleNormal="100" workbookViewId="0">
      <selection activeCell="F220" sqref="F220"/>
    </sheetView>
  </sheetViews>
  <sheetFormatPr defaultRowHeight="15" x14ac:dyDescent="0.25"/>
  <cols>
    <col min="1" max="1" width="29.140625" bestFit="1" customWidth="1"/>
    <col min="2" max="2" width="20" bestFit="1" customWidth="1"/>
    <col min="4" max="4" width="20.28515625" customWidth="1"/>
    <col min="5" max="5" width="31.7109375" customWidth="1"/>
    <col min="6" max="6" width="22.28515625" customWidth="1"/>
  </cols>
  <sheetData>
    <row r="1" spans="1:8" x14ac:dyDescent="0.25">
      <c r="A1" t="s">
        <v>321</v>
      </c>
      <c r="B1" s="305">
        <v>30</v>
      </c>
      <c r="C1" t="s">
        <v>322</v>
      </c>
    </row>
    <row r="3" spans="1:8" x14ac:dyDescent="0.25">
      <c r="B3" s="639" t="s">
        <v>454</v>
      </c>
      <c r="C3" s="639"/>
      <c r="D3" s="639"/>
      <c r="E3" s="639"/>
    </row>
    <row r="4" spans="1:8" x14ac:dyDescent="0.25">
      <c r="A4" t="s">
        <v>323</v>
      </c>
      <c r="E4" s="438">
        <v>1</v>
      </c>
    </row>
    <row r="5" spans="1:8" x14ac:dyDescent="0.25">
      <c r="A5" t="s">
        <v>325</v>
      </c>
      <c r="E5" s="439">
        <f>($B$1*E4)</f>
        <v>30</v>
      </c>
    </row>
    <row r="6" spans="1:8" x14ac:dyDescent="0.25">
      <c r="A6" t="s">
        <v>327</v>
      </c>
      <c r="B6" t="s">
        <v>454</v>
      </c>
      <c r="C6" s="306">
        <v>0.85</v>
      </c>
      <c r="D6" s="307">
        <v>100</v>
      </c>
      <c r="E6" s="439">
        <f>C6*$E$199*D6</f>
        <v>85</v>
      </c>
      <c r="F6" s="33" t="s">
        <v>537</v>
      </c>
    </row>
    <row r="7" spans="1:8" x14ac:dyDescent="0.25">
      <c r="B7" t="s">
        <v>332</v>
      </c>
      <c r="C7" s="308">
        <f>C8-SUM(C6:C6)</f>
        <v>0.15000000000000002</v>
      </c>
      <c r="D7" s="307">
        <v>0</v>
      </c>
      <c r="E7" s="439">
        <f>C7*$E$199*D7</f>
        <v>0</v>
      </c>
    </row>
    <row r="8" spans="1:8" x14ac:dyDescent="0.25">
      <c r="B8" t="s">
        <v>333</v>
      </c>
      <c r="C8" s="50">
        <v>1</v>
      </c>
      <c r="D8" s="50"/>
      <c r="E8" s="439"/>
    </row>
    <row r="9" spans="1:8" x14ac:dyDescent="0.25">
      <c r="E9" s="439"/>
    </row>
    <row r="10" spans="1:8" x14ac:dyDescent="0.25">
      <c r="B10" t="s">
        <v>334</v>
      </c>
      <c r="E10" s="439">
        <f>E5+SUM(E6:E7)</f>
        <v>115</v>
      </c>
    </row>
    <row r="11" spans="1:8" x14ac:dyDescent="0.25">
      <c r="E11" s="414"/>
    </row>
    <row r="12" spans="1:8" x14ac:dyDescent="0.25">
      <c r="B12" s="639" t="s">
        <v>43</v>
      </c>
      <c r="C12" s="639"/>
      <c r="D12" s="639"/>
      <c r="E12" s="639"/>
    </row>
    <row r="13" spans="1:8" x14ac:dyDescent="0.25">
      <c r="A13" t="s">
        <v>323</v>
      </c>
      <c r="E13" s="438">
        <v>1</v>
      </c>
      <c r="H13" s="324" t="s">
        <v>324</v>
      </c>
    </row>
    <row r="14" spans="1:8" x14ac:dyDescent="0.25">
      <c r="A14" t="s">
        <v>325</v>
      </c>
      <c r="E14" s="439">
        <f>$B$1*E13</f>
        <v>30</v>
      </c>
      <c r="H14" s="324" t="s">
        <v>326</v>
      </c>
    </row>
    <row r="15" spans="1:8" x14ac:dyDescent="0.25">
      <c r="A15" t="s">
        <v>327</v>
      </c>
      <c r="B15" t="s">
        <v>328</v>
      </c>
      <c r="C15" s="306">
        <v>0.1</v>
      </c>
      <c r="D15" s="307">
        <f>400/0.4</f>
        <v>1000</v>
      </c>
      <c r="E15" s="439">
        <f>C15*E13*D15</f>
        <v>100</v>
      </c>
      <c r="F15" s="33" t="s">
        <v>534</v>
      </c>
    </row>
    <row r="16" spans="1:8" x14ac:dyDescent="0.25">
      <c r="B16" t="s">
        <v>536</v>
      </c>
      <c r="C16" s="306">
        <v>0.3</v>
      </c>
      <c r="D16" s="307">
        <v>190</v>
      </c>
      <c r="E16" s="439">
        <f>C16*E13*D16</f>
        <v>57</v>
      </c>
      <c r="F16" s="33" t="s">
        <v>535</v>
      </c>
    </row>
    <row r="17" spans="1:6" x14ac:dyDescent="0.25">
      <c r="B17" t="s">
        <v>329</v>
      </c>
      <c r="C17" s="306">
        <v>0.28000000000000003</v>
      </c>
      <c r="D17" s="307">
        <v>3</v>
      </c>
      <c r="E17" s="439">
        <f>C17*E13*D17</f>
        <v>0.84000000000000008</v>
      </c>
    </row>
    <row r="18" spans="1:6" x14ac:dyDescent="0.25">
      <c r="B18" t="s">
        <v>330</v>
      </c>
      <c r="C18" s="306">
        <v>0.1</v>
      </c>
      <c r="D18" s="307">
        <v>-3</v>
      </c>
      <c r="E18" s="439">
        <f>C18*E13*D18</f>
        <v>-0.30000000000000004</v>
      </c>
    </row>
    <row r="19" spans="1:6" x14ac:dyDescent="0.25">
      <c r="B19" t="s">
        <v>331</v>
      </c>
      <c r="C19" s="306">
        <v>0.02</v>
      </c>
      <c r="D19" s="307">
        <v>1370</v>
      </c>
      <c r="E19" s="439">
        <f>C19*E13*D19</f>
        <v>27.400000000000002</v>
      </c>
      <c r="F19" s="33" t="s">
        <v>441</v>
      </c>
    </row>
    <row r="20" spans="1:6" x14ac:dyDescent="0.25">
      <c r="B20" t="s">
        <v>332</v>
      </c>
      <c r="C20" s="308">
        <f>C21-SUM(C15:C19)</f>
        <v>0.19999999999999996</v>
      </c>
      <c r="D20" s="307">
        <v>0</v>
      </c>
      <c r="E20" s="439">
        <f>C20*E13*D20</f>
        <v>0</v>
      </c>
    </row>
    <row r="21" spans="1:6" x14ac:dyDescent="0.25">
      <c r="B21" t="s">
        <v>333</v>
      </c>
      <c r="C21" s="50">
        <v>1</v>
      </c>
      <c r="D21" s="50"/>
      <c r="E21" s="439"/>
    </row>
    <row r="22" spans="1:6" x14ac:dyDescent="0.25">
      <c r="E22" s="439"/>
    </row>
    <row r="23" spans="1:6" x14ac:dyDescent="0.25">
      <c r="B23" t="s">
        <v>334</v>
      </c>
      <c r="E23" s="439">
        <f>E14+SUM(E15:E20)</f>
        <v>214.94</v>
      </c>
    </row>
    <row r="24" spans="1:6" x14ac:dyDescent="0.25">
      <c r="E24" s="414"/>
    </row>
    <row r="25" spans="1:6" x14ac:dyDescent="0.25">
      <c r="B25" s="639" t="s">
        <v>496</v>
      </c>
      <c r="C25" s="639"/>
      <c r="D25" s="639"/>
      <c r="E25" s="639"/>
    </row>
    <row r="26" spans="1:6" x14ac:dyDescent="0.25">
      <c r="A26" t="s">
        <v>323</v>
      </c>
      <c r="E26" s="438">
        <v>1</v>
      </c>
    </row>
    <row r="27" spans="1:6" x14ac:dyDescent="0.25">
      <c r="A27" t="s">
        <v>325</v>
      </c>
      <c r="E27" s="439">
        <f>$B$1*E26</f>
        <v>30</v>
      </c>
    </row>
    <row r="28" spans="1:6" x14ac:dyDescent="0.25">
      <c r="A28" t="s">
        <v>327</v>
      </c>
      <c r="B28" t="s">
        <v>533</v>
      </c>
      <c r="C28" s="306">
        <v>0.7</v>
      </c>
      <c r="D28" s="307">
        <v>500</v>
      </c>
      <c r="E28" s="439">
        <f>C28*$E$127*D28</f>
        <v>350</v>
      </c>
      <c r="F28" s="33" t="s">
        <v>544</v>
      </c>
    </row>
    <row r="29" spans="1:6" x14ac:dyDescent="0.25">
      <c r="B29" t="s">
        <v>330</v>
      </c>
      <c r="C29" s="306">
        <v>0.05</v>
      </c>
      <c r="D29" s="307">
        <v>-3</v>
      </c>
      <c r="E29" s="439">
        <f>C29*$E$127*D29</f>
        <v>-0.15000000000000002</v>
      </c>
    </row>
    <row r="30" spans="1:6" x14ac:dyDescent="0.25">
      <c r="B30" t="s">
        <v>332</v>
      </c>
      <c r="C30" s="308">
        <f>C31-SUM(C28:C29)</f>
        <v>0.25</v>
      </c>
      <c r="D30" s="307">
        <v>0</v>
      </c>
      <c r="E30" s="439">
        <f>C30*$E$127*D30</f>
        <v>0</v>
      </c>
    </row>
    <row r="31" spans="1:6" x14ac:dyDescent="0.25">
      <c r="B31" t="s">
        <v>333</v>
      </c>
      <c r="C31" s="50">
        <v>1</v>
      </c>
      <c r="D31" s="50"/>
      <c r="E31" s="439"/>
    </row>
    <row r="32" spans="1:6" x14ac:dyDescent="0.25">
      <c r="E32" s="439"/>
    </row>
    <row r="33" spans="1:7" x14ac:dyDescent="0.25">
      <c r="B33" t="s">
        <v>334</v>
      </c>
      <c r="E33" s="439">
        <f>E27+SUM(E28:E30)</f>
        <v>379.85</v>
      </c>
    </row>
    <row r="34" spans="1:7" x14ac:dyDescent="0.25">
      <c r="E34" s="414"/>
    </row>
    <row r="35" spans="1:7" x14ac:dyDescent="0.25">
      <c r="B35" s="639" t="s">
        <v>337</v>
      </c>
      <c r="C35" s="639"/>
      <c r="D35" s="639"/>
      <c r="E35" s="639"/>
    </row>
    <row r="36" spans="1:7" x14ac:dyDescent="0.25">
      <c r="A36" t="s">
        <v>323</v>
      </c>
      <c r="E36" s="438">
        <v>1</v>
      </c>
    </row>
    <row r="37" spans="1:7" x14ac:dyDescent="0.25">
      <c r="A37" t="s">
        <v>325</v>
      </c>
      <c r="E37" s="439">
        <f>$B$1*E36</f>
        <v>30</v>
      </c>
    </row>
    <row r="38" spans="1:7" x14ac:dyDescent="0.25">
      <c r="A38" t="s">
        <v>327</v>
      </c>
      <c r="B38" t="s">
        <v>133</v>
      </c>
      <c r="C38" s="306">
        <v>0.7</v>
      </c>
      <c r="D38" s="307">
        <v>60</v>
      </c>
      <c r="E38" s="439">
        <f>C38*E36*D38</f>
        <v>42</v>
      </c>
      <c r="F38" s="33" t="s">
        <v>442</v>
      </c>
      <c r="G38" s="33" t="s">
        <v>443</v>
      </c>
    </row>
    <row r="39" spans="1:7" x14ac:dyDescent="0.25">
      <c r="B39" t="s">
        <v>330</v>
      </c>
      <c r="C39" s="306">
        <v>0.2</v>
      </c>
      <c r="D39" s="307">
        <v>-3</v>
      </c>
      <c r="E39" s="439">
        <f>C39*E36*D39</f>
        <v>-0.60000000000000009</v>
      </c>
    </row>
    <row r="40" spans="1:7" x14ac:dyDescent="0.25">
      <c r="B40" t="s">
        <v>332</v>
      </c>
      <c r="C40" s="308">
        <f>C41-SUM(C38:C39)</f>
        <v>0.10000000000000009</v>
      </c>
      <c r="D40" s="307">
        <v>0</v>
      </c>
      <c r="E40" s="439">
        <f>C40*E36*D40</f>
        <v>0</v>
      </c>
    </row>
    <row r="41" spans="1:7" x14ac:dyDescent="0.25">
      <c r="B41" t="s">
        <v>333</v>
      </c>
      <c r="C41" s="50">
        <v>1</v>
      </c>
      <c r="D41" s="50"/>
      <c r="E41" s="439"/>
    </row>
    <row r="42" spans="1:7" x14ac:dyDescent="0.25">
      <c r="E42" s="439"/>
    </row>
    <row r="43" spans="1:7" x14ac:dyDescent="0.25">
      <c r="B43" t="s">
        <v>334</v>
      </c>
      <c r="E43" s="439">
        <f>E37+SUM(E38:E40)</f>
        <v>71.400000000000006</v>
      </c>
    </row>
    <row r="45" spans="1:7" x14ac:dyDescent="0.25">
      <c r="B45" s="639" t="s">
        <v>55</v>
      </c>
      <c r="C45" s="639"/>
      <c r="D45" s="639"/>
      <c r="E45" s="639"/>
    </row>
    <row r="46" spans="1:7" x14ac:dyDescent="0.25">
      <c r="A46" t="s">
        <v>323</v>
      </c>
      <c r="E46" s="438">
        <v>1</v>
      </c>
    </row>
    <row r="47" spans="1:7" x14ac:dyDescent="0.25">
      <c r="A47" t="s">
        <v>325</v>
      </c>
      <c r="E47" s="439">
        <f t="shared" ref="E47" si="0">$B$1*E46</f>
        <v>30</v>
      </c>
    </row>
    <row r="48" spans="1:7" x14ac:dyDescent="0.25">
      <c r="A48" t="s">
        <v>327</v>
      </c>
      <c r="B48" t="s">
        <v>31</v>
      </c>
      <c r="C48" s="306">
        <v>0.5</v>
      </c>
      <c r="D48" s="307">
        <v>90</v>
      </c>
      <c r="E48" s="439">
        <f>C48*E46*D48</f>
        <v>45</v>
      </c>
      <c r="F48" s="33" t="s">
        <v>540</v>
      </c>
    </row>
    <row r="49" spans="1:6" x14ac:dyDescent="0.25">
      <c r="B49" t="s">
        <v>330</v>
      </c>
      <c r="C49" s="306">
        <v>0.45</v>
      </c>
      <c r="D49" s="307">
        <v>-3</v>
      </c>
      <c r="E49" s="439">
        <f>C49*E46*D49</f>
        <v>-1.35</v>
      </c>
    </row>
    <row r="50" spans="1:6" x14ac:dyDescent="0.25">
      <c r="B50" t="s">
        <v>332</v>
      </c>
      <c r="C50" s="308">
        <v>0.05</v>
      </c>
      <c r="D50" s="307">
        <v>0</v>
      </c>
      <c r="E50" s="439">
        <f>C50*E46*D50</f>
        <v>0</v>
      </c>
    </row>
    <row r="51" spans="1:6" x14ac:dyDescent="0.25">
      <c r="B51" t="s">
        <v>333</v>
      </c>
      <c r="C51" s="50">
        <v>1</v>
      </c>
      <c r="D51" s="50"/>
      <c r="E51" s="439"/>
    </row>
    <row r="52" spans="1:6" x14ac:dyDescent="0.25">
      <c r="E52" s="439"/>
    </row>
    <row r="53" spans="1:6" x14ac:dyDescent="0.25">
      <c r="B53" t="s">
        <v>334</v>
      </c>
      <c r="E53" s="439">
        <f>E47+SUM(E48:E50)</f>
        <v>73.650000000000006</v>
      </c>
    </row>
    <row r="55" spans="1:6" x14ac:dyDescent="0.25">
      <c r="B55" s="639" t="s">
        <v>49</v>
      </c>
      <c r="C55" s="639"/>
      <c r="D55" s="639"/>
      <c r="E55" s="639"/>
    </row>
    <row r="56" spans="1:6" x14ac:dyDescent="0.25">
      <c r="A56" t="s">
        <v>323</v>
      </c>
      <c r="E56" s="438">
        <v>1</v>
      </c>
    </row>
    <row r="57" spans="1:6" x14ac:dyDescent="0.25">
      <c r="A57" t="s">
        <v>325</v>
      </c>
      <c r="E57" s="439">
        <f t="shared" ref="E57" si="1">$B$1*E56</f>
        <v>30</v>
      </c>
    </row>
    <row r="58" spans="1:6" x14ac:dyDescent="0.25">
      <c r="A58" t="s">
        <v>327</v>
      </c>
      <c r="B58" t="s">
        <v>340</v>
      </c>
      <c r="C58" s="306">
        <v>0.35</v>
      </c>
      <c r="D58" s="307">
        <v>550</v>
      </c>
      <c r="E58" s="439">
        <f>C58*E56*D58</f>
        <v>192.5</v>
      </c>
      <c r="F58" s="33" t="s">
        <v>543</v>
      </c>
    </row>
    <row r="59" spans="1:6" x14ac:dyDescent="0.25">
      <c r="B59" t="s">
        <v>330</v>
      </c>
      <c r="C59" s="306">
        <v>0.45</v>
      </c>
      <c r="D59" s="307">
        <v>-3</v>
      </c>
      <c r="E59" s="439">
        <f>C59*E56*D59</f>
        <v>-1.35</v>
      </c>
    </row>
    <row r="60" spans="1:6" x14ac:dyDescent="0.25">
      <c r="B60" t="s">
        <v>332</v>
      </c>
      <c r="C60" s="308">
        <f>C61-SUM(C58:C59)</f>
        <v>0.19999999999999996</v>
      </c>
      <c r="D60" s="307">
        <v>0</v>
      </c>
      <c r="E60" s="439">
        <f>C60*E56*D60</f>
        <v>0</v>
      </c>
    </row>
    <row r="61" spans="1:6" x14ac:dyDescent="0.25">
      <c r="B61" t="s">
        <v>333</v>
      </c>
      <c r="C61" s="50">
        <v>1</v>
      </c>
      <c r="D61" s="50"/>
      <c r="E61" s="439"/>
    </row>
    <row r="62" spans="1:6" x14ac:dyDescent="0.25">
      <c r="E62" s="439"/>
    </row>
    <row r="63" spans="1:6" x14ac:dyDescent="0.25">
      <c r="B63" t="s">
        <v>334</v>
      </c>
      <c r="E63" s="439">
        <f>E57+SUM(E58:E60)</f>
        <v>221.15</v>
      </c>
    </row>
    <row r="65" spans="1:6" x14ac:dyDescent="0.25">
      <c r="B65" s="639" t="s">
        <v>48</v>
      </c>
      <c r="C65" s="639"/>
      <c r="D65" s="639"/>
      <c r="E65" s="639"/>
    </row>
    <row r="66" spans="1:6" x14ac:dyDescent="0.25">
      <c r="A66" t="s">
        <v>323</v>
      </c>
      <c r="E66" s="438">
        <v>1</v>
      </c>
    </row>
    <row r="67" spans="1:6" x14ac:dyDescent="0.25">
      <c r="A67" t="s">
        <v>325</v>
      </c>
      <c r="E67" s="439">
        <f t="shared" ref="E67" si="2">$B$1*E66</f>
        <v>30</v>
      </c>
    </row>
    <row r="68" spans="1:6" x14ac:dyDescent="0.25">
      <c r="A68" t="s">
        <v>327</v>
      </c>
      <c r="B68" t="s">
        <v>339</v>
      </c>
      <c r="C68" s="306">
        <v>0.3</v>
      </c>
      <c r="D68" s="307">
        <v>150</v>
      </c>
      <c r="E68" s="439">
        <f>C68*E66*D68</f>
        <v>45</v>
      </c>
      <c r="F68" s="33" t="s">
        <v>546</v>
      </c>
    </row>
    <row r="69" spans="1:6" x14ac:dyDescent="0.25">
      <c r="B69" t="s">
        <v>329</v>
      </c>
      <c r="C69" s="306">
        <v>0.3</v>
      </c>
      <c r="D69" s="307">
        <v>3</v>
      </c>
      <c r="E69" s="439">
        <f>C69*E66*D69</f>
        <v>0.89999999999999991</v>
      </c>
    </row>
    <row r="70" spans="1:6" x14ac:dyDescent="0.25">
      <c r="B70" t="s">
        <v>330</v>
      </c>
      <c r="C70" s="306">
        <v>0.25</v>
      </c>
      <c r="D70" s="307">
        <v>-3</v>
      </c>
      <c r="E70" s="439">
        <f>C70*E66*D70</f>
        <v>-0.75</v>
      </c>
    </row>
    <row r="71" spans="1:6" x14ac:dyDescent="0.25">
      <c r="B71" t="s">
        <v>332</v>
      </c>
      <c r="C71" s="308">
        <f>C72-SUM(C68:C70)</f>
        <v>0.15000000000000002</v>
      </c>
      <c r="D71" s="307">
        <v>0</v>
      </c>
      <c r="E71" s="439">
        <f>C71*E66*D71</f>
        <v>0</v>
      </c>
    </row>
    <row r="72" spans="1:6" x14ac:dyDescent="0.25">
      <c r="B72" t="s">
        <v>333</v>
      </c>
      <c r="C72" s="50">
        <v>1</v>
      </c>
      <c r="D72" s="50"/>
      <c r="E72" s="439"/>
    </row>
    <row r="73" spans="1:6" x14ac:dyDescent="0.25">
      <c r="E73" s="439"/>
    </row>
    <row r="74" spans="1:6" x14ac:dyDescent="0.25">
      <c r="B74" t="s">
        <v>334</v>
      </c>
      <c r="E74" s="439">
        <f>E67+SUM(E68:E71)</f>
        <v>75.150000000000006</v>
      </c>
    </row>
    <row r="76" spans="1:6" x14ac:dyDescent="0.25">
      <c r="B76" s="639" t="s">
        <v>501</v>
      </c>
      <c r="C76" s="639"/>
      <c r="D76" s="639"/>
      <c r="E76" s="639"/>
    </row>
    <row r="77" spans="1:6" x14ac:dyDescent="0.25">
      <c r="A77" t="s">
        <v>323</v>
      </c>
      <c r="E77" s="438">
        <v>1</v>
      </c>
    </row>
    <row r="78" spans="1:6" x14ac:dyDescent="0.25">
      <c r="A78" t="s">
        <v>325</v>
      </c>
      <c r="E78" s="439">
        <f>$B$1*E77</f>
        <v>30</v>
      </c>
    </row>
    <row r="79" spans="1:6" x14ac:dyDescent="0.25">
      <c r="A79" t="s">
        <v>327</v>
      </c>
      <c r="B79" t="s">
        <v>338</v>
      </c>
      <c r="C79" s="306">
        <v>0.25</v>
      </c>
      <c r="D79" s="307">
        <v>150</v>
      </c>
      <c r="E79" s="439">
        <f>C79*E77*D79</f>
        <v>37.5</v>
      </c>
      <c r="F79" s="33" t="s">
        <v>546</v>
      </c>
    </row>
    <row r="80" spans="1:6" x14ac:dyDescent="0.25">
      <c r="B80" t="s">
        <v>329</v>
      </c>
      <c r="C80" s="306">
        <v>0.3</v>
      </c>
      <c r="D80" s="307">
        <v>3</v>
      </c>
      <c r="E80" s="439">
        <f>C80*E77*D80</f>
        <v>0.89999999999999991</v>
      </c>
    </row>
    <row r="81" spans="1:6" x14ac:dyDescent="0.25">
      <c r="B81" t="s">
        <v>330</v>
      </c>
      <c r="C81" s="306">
        <v>0.2</v>
      </c>
      <c r="D81" s="307">
        <v>-3</v>
      </c>
      <c r="E81" s="439">
        <f>C81*E77*D81</f>
        <v>-0.60000000000000009</v>
      </c>
    </row>
    <row r="82" spans="1:6" x14ac:dyDescent="0.25">
      <c r="B82" t="s">
        <v>332</v>
      </c>
      <c r="C82" s="308">
        <f>C83-SUM(C79:C81)</f>
        <v>0.25</v>
      </c>
      <c r="D82" s="307">
        <v>0</v>
      </c>
      <c r="E82" s="439">
        <f>C82*E77*D82</f>
        <v>0</v>
      </c>
    </row>
    <row r="83" spans="1:6" x14ac:dyDescent="0.25">
      <c r="B83" t="s">
        <v>333</v>
      </c>
      <c r="C83" s="50">
        <v>1</v>
      </c>
      <c r="D83" s="50"/>
      <c r="E83" s="439"/>
    </row>
    <row r="84" spans="1:6" x14ac:dyDescent="0.25">
      <c r="E84" s="439"/>
    </row>
    <row r="85" spans="1:6" x14ac:dyDescent="0.25">
      <c r="B85" t="s">
        <v>334</v>
      </c>
      <c r="E85" s="439">
        <f>E78+SUM(E79:E82)</f>
        <v>67.8</v>
      </c>
    </row>
    <row r="86" spans="1:6" x14ac:dyDescent="0.25">
      <c r="E86" s="414"/>
    </row>
    <row r="87" spans="1:6" x14ac:dyDescent="0.25">
      <c r="B87" s="639" t="s">
        <v>499</v>
      </c>
      <c r="C87" s="639"/>
      <c r="D87" s="639"/>
      <c r="E87" s="639"/>
    </row>
    <row r="88" spans="1:6" x14ac:dyDescent="0.25">
      <c r="A88" t="s">
        <v>323</v>
      </c>
      <c r="E88" s="438">
        <v>1</v>
      </c>
    </row>
    <row r="89" spans="1:6" x14ac:dyDescent="0.25">
      <c r="A89" t="s">
        <v>325</v>
      </c>
      <c r="E89" s="439">
        <f>$B$1*E88</f>
        <v>30</v>
      </c>
    </row>
    <row r="90" spans="1:6" x14ac:dyDescent="0.25">
      <c r="A90" t="s">
        <v>327</v>
      </c>
      <c r="B90" t="s">
        <v>22</v>
      </c>
      <c r="C90" s="306">
        <v>0.15</v>
      </c>
      <c r="D90" s="307">
        <v>275</v>
      </c>
      <c r="E90" s="439">
        <f>C90*E88*D90</f>
        <v>41.25</v>
      </c>
      <c r="F90" s="33" t="s">
        <v>548</v>
      </c>
    </row>
    <row r="91" spans="1:6" x14ac:dyDescent="0.25">
      <c r="B91" t="s">
        <v>335</v>
      </c>
      <c r="C91" s="306">
        <v>0.15</v>
      </c>
      <c r="D91" s="307">
        <v>30</v>
      </c>
      <c r="E91" s="439">
        <f>C91*E88*D91</f>
        <v>4.5</v>
      </c>
    </row>
    <row r="92" spans="1:6" x14ac:dyDescent="0.25">
      <c r="B92" t="s">
        <v>344</v>
      </c>
      <c r="C92" s="306">
        <v>0.05</v>
      </c>
      <c r="D92" s="307">
        <v>200</v>
      </c>
      <c r="E92" s="439">
        <f>C92*E88*D92</f>
        <v>10</v>
      </c>
    </row>
    <row r="93" spans="1:6" x14ac:dyDescent="0.25">
      <c r="B93" t="s">
        <v>336</v>
      </c>
      <c r="C93" s="306">
        <v>0.4</v>
      </c>
      <c r="D93" s="307">
        <v>-3</v>
      </c>
      <c r="E93" s="439">
        <f>C93*E88*D93</f>
        <v>-1.2000000000000002</v>
      </c>
    </row>
    <row r="94" spans="1:6" x14ac:dyDescent="0.25">
      <c r="B94" t="s">
        <v>332</v>
      </c>
      <c r="C94" s="308">
        <f>C95-SUM(C90:C93)</f>
        <v>0.25</v>
      </c>
      <c r="D94" s="307">
        <v>0</v>
      </c>
      <c r="E94" s="439">
        <f>C94*E88*D94</f>
        <v>0</v>
      </c>
    </row>
    <row r="95" spans="1:6" x14ac:dyDescent="0.25">
      <c r="B95" t="s">
        <v>333</v>
      </c>
      <c r="C95" s="50">
        <v>1</v>
      </c>
      <c r="D95" s="50"/>
      <c r="E95" s="439"/>
    </row>
    <row r="96" spans="1:6" x14ac:dyDescent="0.25">
      <c r="E96" s="439"/>
    </row>
    <row r="97" spans="1:6" x14ac:dyDescent="0.25">
      <c r="B97" t="s">
        <v>334</v>
      </c>
      <c r="E97" s="439">
        <f>E89+SUM(E90:E94)</f>
        <v>84.55</v>
      </c>
    </row>
    <row r="99" spans="1:6" x14ac:dyDescent="0.25">
      <c r="B99" s="639" t="s">
        <v>549</v>
      </c>
      <c r="C99" s="639"/>
      <c r="D99" s="639"/>
      <c r="E99" s="639"/>
    </row>
    <row r="100" spans="1:6" x14ac:dyDescent="0.25">
      <c r="A100" t="s">
        <v>323</v>
      </c>
      <c r="E100" s="438">
        <v>1</v>
      </c>
    </row>
    <row r="101" spans="1:6" x14ac:dyDescent="0.25">
      <c r="A101" t="s">
        <v>325</v>
      </c>
      <c r="E101" s="439">
        <f>$B$1*E100</f>
        <v>30</v>
      </c>
    </row>
    <row r="102" spans="1:6" x14ac:dyDescent="0.25">
      <c r="A102" t="s">
        <v>327</v>
      </c>
      <c r="B102" t="s">
        <v>550</v>
      </c>
      <c r="C102" s="306">
        <v>1</v>
      </c>
      <c r="D102" s="307">
        <v>0</v>
      </c>
      <c r="E102" s="439">
        <f>C102*E100*D102</f>
        <v>0</v>
      </c>
    </row>
    <row r="103" spans="1:6" x14ac:dyDescent="0.25">
      <c r="B103" t="s">
        <v>333</v>
      </c>
      <c r="C103" s="441">
        <v>1</v>
      </c>
      <c r="D103" s="50"/>
      <c r="E103" s="439"/>
    </row>
    <row r="104" spans="1:6" x14ac:dyDescent="0.25">
      <c r="E104" s="439"/>
    </row>
    <row r="105" spans="1:6" x14ac:dyDescent="0.25">
      <c r="B105" t="s">
        <v>334</v>
      </c>
      <c r="E105" s="439">
        <f>E101+SUM(E102)</f>
        <v>30</v>
      </c>
    </row>
    <row r="106" spans="1:6" x14ac:dyDescent="0.25">
      <c r="E106" s="439"/>
    </row>
    <row r="107" spans="1:6" x14ac:dyDescent="0.25">
      <c r="B107" s="639" t="s">
        <v>282</v>
      </c>
      <c r="C107" s="639"/>
      <c r="D107" s="639"/>
      <c r="E107" s="639"/>
    </row>
    <row r="108" spans="1:6" x14ac:dyDescent="0.25">
      <c r="A108" t="s">
        <v>323</v>
      </c>
      <c r="E108" s="438">
        <v>1</v>
      </c>
    </row>
    <row r="109" spans="1:6" x14ac:dyDescent="0.25">
      <c r="A109" t="s">
        <v>325</v>
      </c>
      <c r="E109" s="439">
        <f t="shared" ref="E109" si="3">$B$1*E108</f>
        <v>30</v>
      </c>
    </row>
    <row r="110" spans="1:6" x14ac:dyDescent="0.25">
      <c r="A110" t="s">
        <v>327</v>
      </c>
      <c r="B110" t="s">
        <v>282</v>
      </c>
      <c r="C110" s="306">
        <v>0.9</v>
      </c>
      <c r="D110" s="307">
        <v>30</v>
      </c>
      <c r="E110" s="439">
        <f>C110*E108*D110</f>
        <v>27</v>
      </c>
      <c r="F110" s="33" t="s">
        <v>423</v>
      </c>
    </row>
    <row r="111" spans="1:6" x14ac:dyDescent="0.25">
      <c r="B111" t="s">
        <v>332</v>
      </c>
      <c r="C111" s="308">
        <f>C112-SUM(C110:C110)</f>
        <v>9.9999999999999978E-2</v>
      </c>
      <c r="D111" s="307">
        <v>0</v>
      </c>
      <c r="E111" s="439">
        <f>C111*E108*D111</f>
        <v>0</v>
      </c>
    </row>
    <row r="112" spans="1:6" x14ac:dyDescent="0.25">
      <c r="B112" t="s">
        <v>333</v>
      </c>
      <c r="C112" s="50">
        <v>1</v>
      </c>
      <c r="D112" s="50"/>
      <c r="E112" s="439"/>
    </row>
    <row r="113" spans="1:5" x14ac:dyDescent="0.25">
      <c r="E113" s="439"/>
    </row>
    <row r="114" spans="1:5" x14ac:dyDescent="0.25">
      <c r="B114" t="s">
        <v>334</v>
      </c>
      <c r="E114" s="439">
        <f>E109+SUM(E110:E111)</f>
        <v>57</v>
      </c>
    </row>
    <row r="116" spans="1:5" x14ac:dyDescent="0.25">
      <c r="B116" s="639" t="s">
        <v>530</v>
      </c>
      <c r="C116" s="639"/>
      <c r="D116" s="639"/>
      <c r="E116" s="639"/>
    </row>
    <row r="117" spans="1:5" x14ac:dyDescent="0.25">
      <c r="A117" t="s">
        <v>323</v>
      </c>
      <c r="E117" s="438">
        <v>1</v>
      </c>
    </row>
    <row r="118" spans="1:5" x14ac:dyDescent="0.25">
      <c r="A118" t="s">
        <v>325</v>
      </c>
      <c r="E118" s="439">
        <f>$B$1*E117</f>
        <v>30</v>
      </c>
    </row>
    <row r="119" spans="1:5" x14ac:dyDescent="0.25">
      <c r="A119" t="s">
        <v>327</v>
      </c>
      <c r="B119" t="s">
        <v>341</v>
      </c>
      <c r="C119" s="306">
        <v>0.7</v>
      </c>
      <c r="D119" s="307">
        <v>15</v>
      </c>
      <c r="E119" s="439">
        <f>C119*$E$127*D119</f>
        <v>10.5</v>
      </c>
    </row>
    <row r="120" spans="1:5" x14ac:dyDescent="0.25">
      <c r="B120" t="s">
        <v>330</v>
      </c>
      <c r="C120" s="306">
        <v>0.05</v>
      </c>
      <c r="D120" s="307">
        <v>0</v>
      </c>
      <c r="E120" s="439">
        <f>C120*$E$127*D120</f>
        <v>0</v>
      </c>
    </row>
    <row r="121" spans="1:5" x14ac:dyDescent="0.25">
      <c r="B121" t="s">
        <v>332</v>
      </c>
      <c r="C121" s="308">
        <f>C122-SUM(C119:C120)</f>
        <v>0.25</v>
      </c>
      <c r="D121" s="307">
        <v>0</v>
      </c>
      <c r="E121" s="439">
        <f>C121*$E$127*D121</f>
        <v>0</v>
      </c>
    </row>
    <row r="122" spans="1:5" x14ac:dyDescent="0.25">
      <c r="B122" t="s">
        <v>333</v>
      </c>
      <c r="C122" s="50">
        <v>1</v>
      </c>
      <c r="D122" s="50"/>
      <c r="E122" s="439"/>
    </row>
    <row r="123" spans="1:5" x14ac:dyDescent="0.25">
      <c r="E123" s="439"/>
    </row>
    <row r="124" spans="1:5" x14ac:dyDescent="0.25">
      <c r="B124" t="s">
        <v>334</v>
      </c>
      <c r="E124" s="439">
        <f>E118+SUM(E119:E121)</f>
        <v>40.5</v>
      </c>
    </row>
    <row r="126" spans="1:5" x14ac:dyDescent="0.25">
      <c r="B126" s="639" t="s">
        <v>531</v>
      </c>
      <c r="C126" s="639"/>
      <c r="D126" s="639"/>
      <c r="E126" s="639"/>
    </row>
    <row r="127" spans="1:5" x14ac:dyDescent="0.25">
      <c r="A127" t="s">
        <v>323</v>
      </c>
      <c r="E127" s="438">
        <v>1</v>
      </c>
    </row>
    <row r="128" spans="1:5" x14ac:dyDescent="0.25">
      <c r="A128" t="s">
        <v>325</v>
      </c>
      <c r="E128" s="439">
        <f t="shared" ref="E128" si="4">$B$1*E127</f>
        <v>30</v>
      </c>
    </row>
    <row r="129" spans="1:6" x14ac:dyDescent="0.25">
      <c r="A129" t="s">
        <v>327</v>
      </c>
      <c r="B129" t="s">
        <v>341</v>
      </c>
      <c r="C129" s="306">
        <v>0.7</v>
      </c>
      <c r="D129" s="307">
        <v>15</v>
      </c>
      <c r="E129" s="439">
        <f>C129*$E$127*D129</f>
        <v>10.5</v>
      </c>
    </row>
    <row r="130" spans="1:6" x14ac:dyDescent="0.25">
      <c r="B130" t="s">
        <v>330</v>
      </c>
      <c r="C130" s="306">
        <v>0.05</v>
      </c>
      <c r="D130" s="307">
        <v>-3</v>
      </c>
      <c r="E130" s="439">
        <f>C130*$E$127*D130</f>
        <v>-0.15000000000000002</v>
      </c>
    </row>
    <row r="131" spans="1:6" x14ac:dyDescent="0.25">
      <c r="B131" t="s">
        <v>332</v>
      </c>
      <c r="C131" s="308">
        <f>C132-SUM(C129:C130)</f>
        <v>0.25</v>
      </c>
      <c r="D131" s="307">
        <v>0</v>
      </c>
      <c r="E131" s="439">
        <f>C131*$E$127*D131</f>
        <v>0</v>
      </c>
    </row>
    <row r="132" spans="1:6" x14ac:dyDescent="0.25">
      <c r="B132" t="s">
        <v>333</v>
      </c>
      <c r="C132" s="50">
        <v>1</v>
      </c>
      <c r="D132" s="50"/>
      <c r="E132" s="439"/>
    </row>
    <row r="133" spans="1:6" x14ac:dyDescent="0.25">
      <c r="E133" s="439"/>
    </row>
    <row r="134" spans="1:6" x14ac:dyDescent="0.25">
      <c r="B134" t="s">
        <v>334</v>
      </c>
      <c r="E134" s="439">
        <f>E128+SUM(E129:E131)</f>
        <v>40.35</v>
      </c>
    </row>
    <row r="135" spans="1:6" x14ac:dyDescent="0.25">
      <c r="E135" s="439"/>
    </row>
    <row r="136" spans="1:6" x14ac:dyDescent="0.25">
      <c r="B136" s="639" t="s">
        <v>463</v>
      </c>
      <c r="C136" s="639"/>
      <c r="D136" s="639"/>
      <c r="E136" s="639"/>
    </row>
    <row r="137" spans="1:6" x14ac:dyDescent="0.25">
      <c r="A137" t="s">
        <v>323</v>
      </c>
      <c r="E137" s="438">
        <v>1</v>
      </c>
    </row>
    <row r="138" spans="1:6" x14ac:dyDescent="0.25">
      <c r="A138" t="s">
        <v>325</v>
      </c>
      <c r="E138" s="439">
        <f>($B$1*E137)</f>
        <v>30</v>
      </c>
    </row>
    <row r="139" spans="1:6" x14ac:dyDescent="0.25">
      <c r="A139" t="s">
        <v>327</v>
      </c>
      <c r="B139" t="s">
        <v>463</v>
      </c>
      <c r="C139" s="306">
        <v>0.85</v>
      </c>
      <c r="D139" s="307">
        <v>80</v>
      </c>
      <c r="E139" s="439">
        <f>C139*$E$199*D139</f>
        <v>68</v>
      </c>
      <c r="F139" t="s">
        <v>551</v>
      </c>
    </row>
    <row r="140" spans="1:6" x14ac:dyDescent="0.25">
      <c r="B140" t="s">
        <v>332</v>
      </c>
      <c r="C140" s="308">
        <f>C141-SUM(C139:C139)</f>
        <v>0.15000000000000002</v>
      </c>
      <c r="D140" s="307">
        <v>0</v>
      </c>
      <c r="E140" s="439">
        <f>C140*$E$199*D140</f>
        <v>0</v>
      </c>
    </row>
    <row r="141" spans="1:6" x14ac:dyDescent="0.25">
      <c r="B141" t="s">
        <v>333</v>
      </c>
      <c r="C141" s="50">
        <v>1</v>
      </c>
      <c r="D141" s="50"/>
      <c r="E141" s="439"/>
    </row>
    <row r="142" spans="1:6" x14ac:dyDescent="0.25">
      <c r="E142" s="439"/>
    </row>
    <row r="143" spans="1:6" x14ac:dyDescent="0.25">
      <c r="B143" t="s">
        <v>334</v>
      </c>
      <c r="E143" s="439">
        <f>E138+SUM(E139:E140)</f>
        <v>98</v>
      </c>
    </row>
    <row r="145" spans="1:6" x14ac:dyDescent="0.25">
      <c r="B145" s="639" t="s">
        <v>13</v>
      </c>
      <c r="C145" s="639"/>
      <c r="D145" s="639"/>
      <c r="E145" s="639"/>
    </row>
    <row r="146" spans="1:6" x14ac:dyDescent="0.25">
      <c r="A146" t="s">
        <v>323</v>
      </c>
      <c r="E146" s="438">
        <v>1</v>
      </c>
    </row>
    <row r="147" spans="1:6" x14ac:dyDescent="0.25">
      <c r="A147" t="s">
        <v>325</v>
      </c>
      <c r="E147" s="439">
        <f t="shared" ref="E147" si="5">$B$1*E146</f>
        <v>30</v>
      </c>
      <c r="F147" s="318"/>
    </row>
    <row r="148" spans="1:6" x14ac:dyDescent="0.25">
      <c r="A148" t="s">
        <v>327</v>
      </c>
      <c r="B148" t="s">
        <v>462</v>
      </c>
      <c r="C148" s="306">
        <v>0.2</v>
      </c>
      <c r="D148" s="307">
        <f>1.55*845*0.55</f>
        <v>720.36250000000007</v>
      </c>
      <c r="E148" s="439">
        <f>C148*E146*D148</f>
        <v>144.07250000000002</v>
      </c>
      <c r="F148" s="33" t="s">
        <v>461</v>
      </c>
    </row>
    <row r="149" spans="1:6" x14ac:dyDescent="0.25">
      <c r="B149" t="s">
        <v>342</v>
      </c>
      <c r="C149" s="306">
        <v>0.6</v>
      </c>
      <c r="D149" s="307">
        <v>-10</v>
      </c>
      <c r="E149" s="439">
        <f>C149*E146*D149</f>
        <v>-6</v>
      </c>
      <c r="F149" s="33"/>
    </row>
    <row r="150" spans="1:6" x14ac:dyDescent="0.25">
      <c r="B150" t="s">
        <v>330</v>
      </c>
      <c r="C150" s="306">
        <v>0.15</v>
      </c>
      <c r="D150" s="307">
        <v>-3</v>
      </c>
      <c r="E150" s="439">
        <f>C150*E146*D150</f>
        <v>-0.44999999999999996</v>
      </c>
    </row>
    <row r="151" spans="1:6" x14ac:dyDescent="0.25">
      <c r="B151" t="s">
        <v>332</v>
      </c>
      <c r="C151" s="308">
        <f>C152-SUM(C148:C150)</f>
        <v>4.9999999999999933E-2</v>
      </c>
      <c r="D151" s="307">
        <v>0</v>
      </c>
      <c r="E151" s="439">
        <f>C151*E146*D151</f>
        <v>0</v>
      </c>
    </row>
    <row r="152" spans="1:6" x14ac:dyDescent="0.25">
      <c r="B152" t="s">
        <v>333</v>
      </c>
      <c r="C152" s="50">
        <v>1</v>
      </c>
      <c r="D152" s="50"/>
      <c r="E152" s="439"/>
    </row>
    <row r="153" spans="1:6" x14ac:dyDescent="0.25">
      <c r="E153" s="439"/>
    </row>
    <row r="154" spans="1:6" x14ac:dyDescent="0.25">
      <c r="B154" t="s">
        <v>334</v>
      </c>
      <c r="E154" s="439">
        <f>E147+SUM(E148:E151)</f>
        <v>167.62250000000003</v>
      </c>
    </row>
    <row r="156" spans="1:6" x14ac:dyDescent="0.25">
      <c r="B156" s="639" t="s">
        <v>14</v>
      </c>
      <c r="C156" s="639"/>
      <c r="D156" s="639"/>
      <c r="E156" s="639"/>
    </row>
    <row r="157" spans="1:6" x14ac:dyDescent="0.25">
      <c r="A157" t="s">
        <v>323</v>
      </c>
      <c r="E157" s="438">
        <v>1</v>
      </c>
    </row>
    <row r="158" spans="1:6" x14ac:dyDescent="0.25">
      <c r="A158" t="s">
        <v>325</v>
      </c>
      <c r="E158" s="439">
        <f>$B$1*E157</f>
        <v>30</v>
      </c>
    </row>
    <row r="159" spans="1:6" x14ac:dyDescent="0.25">
      <c r="A159" t="s">
        <v>327</v>
      </c>
      <c r="B159" t="s">
        <v>36</v>
      </c>
      <c r="C159" s="306">
        <v>0.05</v>
      </c>
      <c r="D159" s="307">
        <v>800</v>
      </c>
      <c r="E159" s="439">
        <f>C159*$E$157*D159</f>
        <v>40</v>
      </c>
      <c r="F159" s="33" t="s">
        <v>418</v>
      </c>
    </row>
    <row r="160" spans="1:6" x14ac:dyDescent="0.25">
      <c r="B160" t="s">
        <v>343</v>
      </c>
      <c r="C160" s="306">
        <v>0.4</v>
      </c>
      <c r="D160" s="307">
        <v>190</v>
      </c>
      <c r="E160" s="439">
        <f>C160*$E$157*D160</f>
        <v>76</v>
      </c>
      <c r="F160" s="33" t="s">
        <v>419</v>
      </c>
    </row>
    <row r="161" spans="1:6" x14ac:dyDescent="0.25">
      <c r="B161" t="s">
        <v>330</v>
      </c>
      <c r="C161" s="306">
        <v>0.45</v>
      </c>
      <c r="D161" s="307">
        <v>-2</v>
      </c>
      <c r="E161" s="439">
        <f>C161*$E$157*D161</f>
        <v>-0.9</v>
      </c>
    </row>
    <row r="162" spans="1:6" x14ac:dyDescent="0.25">
      <c r="B162" t="s">
        <v>332</v>
      </c>
      <c r="C162" s="308">
        <f>C163-SUM(C159:C161)</f>
        <v>9.9999999999999978E-2</v>
      </c>
      <c r="D162" s="307">
        <v>0</v>
      </c>
      <c r="E162" s="439">
        <f>C162*$E$157*D162</f>
        <v>0</v>
      </c>
    </row>
    <row r="163" spans="1:6" x14ac:dyDescent="0.25">
      <c r="B163" t="s">
        <v>333</v>
      </c>
      <c r="C163" s="50">
        <v>1</v>
      </c>
      <c r="D163" s="50"/>
      <c r="E163" s="439"/>
    </row>
    <row r="164" spans="1:6" x14ac:dyDescent="0.25">
      <c r="E164" s="439"/>
    </row>
    <row r="165" spans="1:6" x14ac:dyDescent="0.25">
      <c r="B165" t="s">
        <v>334</v>
      </c>
      <c r="E165" s="439">
        <f>E158+SUM(E159:E162)</f>
        <v>145.1</v>
      </c>
    </row>
    <row r="167" spans="1:6" x14ac:dyDescent="0.25">
      <c r="B167" s="639" t="s">
        <v>15</v>
      </c>
      <c r="C167" s="639"/>
      <c r="D167" s="639"/>
      <c r="E167" s="639"/>
    </row>
    <row r="168" spans="1:6" x14ac:dyDescent="0.25">
      <c r="A168" t="s">
        <v>323</v>
      </c>
      <c r="E168" s="438">
        <v>1</v>
      </c>
    </row>
    <row r="169" spans="1:6" x14ac:dyDescent="0.25">
      <c r="A169" t="s">
        <v>325</v>
      </c>
      <c r="E169" s="439">
        <f t="shared" ref="E169" si="6">$B$1*E168</f>
        <v>30</v>
      </c>
    </row>
    <row r="170" spans="1:6" x14ac:dyDescent="0.25">
      <c r="A170" t="s">
        <v>327</v>
      </c>
      <c r="B170" t="s">
        <v>311</v>
      </c>
      <c r="C170" s="306">
        <v>0.3</v>
      </c>
      <c r="D170" s="307">
        <v>180</v>
      </c>
      <c r="E170" s="439">
        <f>C170*E168*D170</f>
        <v>54</v>
      </c>
    </row>
    <row r="171" spans="1:6" x14ac:dyDescent="0.25">
      <c r="B171" t="s">
        <v>330</v>
      </c>
      <c r="C171" s="306">
        <v>0.05</v>
      </c>
      <c r="D171" s="307">
        <v>-3</v>
      </c>
      <c r="E171" s="439">
        <f>C171*E168*D171</f>
        <v>-0.15000000000000002</v>
      </c>
      <c r="F171" s="33"/>
    </row>
    <row r="172" spans="1:6" x14ac:dyDescent="0.25">
      <c r="B172" t="s">
        <v>332</v>
      </c>
      <c r="C172" s="308">
        <f>C173-SUM(C170:C171)</f>
        <v>0.65</v>
      </c>
      <c r="D172" s="307">
        <v>0</v>
      </c>
      <c r="E172" s="439">
        <f>C172*E168*D172</f>
        <v>0</v>
      </c>
    </row>
    <row r="173" spans="1:6" x14ac:dyDescent="0.25">
      <c r="B173" t="s">
        <v>333</v>
      </c>
      <c r="C173" s="50">
        <v>1</v>
      </c>
      <c r="D173" s="50"/>
      <c r="E173" s="439"/>
    </row>
    <row r="174" spans="1:6" x14ac:dyDescent="0.25">
      <c r="E174" s="439"/>
    </row>
    <row r="175" spans="1:6" x14ac:dyDescent="0.25">
      <c r="B175" t="s">
        <v>334</v>
      </c>
      <c r="E175" s="439">
        <f>E169+SUM(E170:E172)</f>
        <v>83.85</v>
      </c>
    </row>
    <row r="177" spans="1:13" x14ac:dyDescent="0.25">
      <c r="B177" s="639" t="s">
        <v>16</v>
      </c>
      <c r="C177" s="639"/>
      <c r="D177" s="639"/>
      <c r="E177" s="639"/>
    </row>
    <row r="178" spans="1:13" x14ac:dyDescent="0.25">
      <c r="A178" t="s">
        <v>323</v>
      </c>
      <c r="E178" s="438">
        <v>1</v>
      </c>
    </row>
    <row r="179" spans="1:13" x14ac:dyDescent="0.25">
      <c r="A179" t="s">
        <v>325</v>
      </c>
      <c r="E179" s="439">
        <f t="shared" ref="E179" si="7">$B$1*E178</f>
        <v>30</v>
      </c>
    </row>
    <row r="180" spans="1:13" x14ac:dyDescent="0.25">
      <c r="A180" t="s">
        <v>327</v>
      </c>
      <c r="B180" t="s">
        <v>38</v>
      </c>
      <c r="C180" s="306">
        <v>0.3</v>
      </c>
      <c r="D180" s="307">
        <v>332</v>
      </c>
      <c r="E180" s="439">
        <f>C180*E178*D180</f>
        <v>99.6</v>
      </c>
      <c r="F180" s="33" t="s">
        <v>422</v>
      </c>
    </row>
    <row r="181" spans="1:13" x14ac:dyDescent="0.25">
      <c r="B181" t="s">
        <v>459</v>
      </c>
      <c r="C181" s="306">
        <v>0.05</v>
      </c>
      <c r="D181" s="307">
        <v>0</v>
      </c>
      <c r="E181" s="439">
        <f>C181*E178*D181</f>
        <v>0</v>
      </c>
    </row>
    <row r="182" spans="1:13" x14ac:dyDescent="0.25">
      <c r="B182" t="s">
        <v>332</v>
      </c>
      <c r="C182" s="308">
        <f>C183-SUM(C180:C181)</f>
        <v>0.65</v>
      </c>
      <c r="D182" s="307">
        <v>0</v>
      </c>
      <c r="E182" s="439">
        <f>C182*E178*D182</f>
        <v>0</v>
      </c>
    </row>
    <row r="183" spans="1:13" x14ac:dyDescent="0.25">
      <c r="B183" t="s">
        <v>333</v>
      </c>
      <c r="C183" s="50">
        <v>1</v>
      </c>
      <c r="D183" s="50"/>
      <c r="E183" s="439"/>
    </row>
    <row r="184" spans="1:13" x14ac:dyDescent="0.25">
      <c r="E184" s="439"/>
    </row>
    <row r="185" spans="1:13" x14ac:dyDescent="0.25">
      <c r="B185" t="s">
        <v>334</v>
      </c>
      <c r="E185" s="439">
        <f>E179+SUM(E180:E182)</f>
        <v>129.6</v>
      </c>
    </row>
    <row r="187" spans="1:13" x14ac:dyDescent="0.25">
      <c r="B187" s="639" t="s">
        <v>18</v>
      </c>
      <c r="C187" s="639"/>
      <c r="D187" s="639"/>
      <c r="E187" s="639"/>
    </row>
    <row r="188" spans="1:13" x14ac:dyDescent="0.25">
      <c r="A188" t="s">
        <v>323</v>
      </c>
      <c r="E188" s="438">
        <v>1</v>
      </c>
    </row>
    <row r="189" spans="1:13" x14ac:dyDescent="0.25">
      <c r="A189" t="s">
        <v>325</v>
      </c>
      <c r="E189" s="439">
        <f t="shared" ref="E189" si="8">$B$1*E188</f>
        <v>30</v>
      </c>
    </row>
    <row r="190" spans="1:13" x14ac:dyDescent="0.25">
      <c r="A190" t="s">
        <v>327</v>
      </c>
      <c r="B190" t="s">
        <v>39</v>
      </c>
      <c r="C190" s="306">
        <v>0.1</v>
      </c>
      <c r="D190" s="307">
        <v>60</v>
      </c>
      <c r="E190" s="439">
        <f>C190*E188*D190</f>
        <v>6</v>
      </c>
      <c r="F190" s="33" t="s">
        <v>420</v>
      </c>
      <c r="M190" t="s">
        <v>460</v>
      </c>
    </row>
    <row r="191" spans="1:13" x14ac:dyDescent="0.25">
      <c r="B191" t="s">
        <v>38</v>
      </c>
      <c r="C191" s="306">
        <v>0.1</v>
      </c>
      <c r="D191" s="307">
        <v>332</v>
      </c>
      <c r="E191" s="439">
        <f>C191*E188*D191</f>
        <v>33.200000000000003</v>
      </c>
      <c r="F191" t="s">
        <v>422</v>
      </c>
    </row>
    <row r="192" spans="1:13" x14ac:dyDescent="0.25">
      <c r="B192" t="s">
        <v>344</v>
      </c>
      <c r="C192" s="306">
        <v>0.13</v>
      </c>
      <c r="D192" s="307">
        <v>150</v>
      </c>
      <c r="E192" s="439">
        <f>C192*E188*D192</f>
        <v>19.5</v>
      </c>
    </row>
    <row r="193" spans="1:6" x14ac:dyDescent="0.25">
      <c r="B193" t="s">
        <v>332</v>
      </c>
      <c r="C193" s="308">
        <f>C194-SUM(C190:C192)</f>
        <v>0.66999999999999993</v>
      </c>
      <c r="D193" s="307">
        <v>0</v>
      </c>
      <c r="E193" s="439">
        <f>C193*E188*D193</f>
        <v>0</v>
      </c>
    </row>
    <row r="194" spans="1:6" x14ac:dyDescent="0.25">
      <c r="B194" t="s">
        <v>333</v>
      </c>
      <c r="C194" s="50">
        <v>1</v>
      </c>
      <c r="D194" s="50"/>
      <c r="E194" s="439"/>
    </row>
    <row r="195" spans="1:6" x14ac:dyDescent="0.25">
      <c r="E195" s="439"/>
    </row>
    <row r="196" spans="1:6" x14ac:dyDescent="0.25">
      <c r="B196" t="s">
        <v>334</v>
      </c>
      <c r="E196" s="439">
        <f>E189+SUM(E190:E193)</f>
        <v>88.7</v>
      </c>
    </row>
    <row r="198" spans="1:6" x14ac:dyDescent="0.25">
      <c r="B198" s="639" t="s">
        <v>19</v>
      </c>
      <c r="C198" s="639"/>
      <c r="D198" s="639"/>
      <c r="E198" s="639"/>
    </row>
    <row r="199" spans="1:6" x14ac:dyDescent="0.25">
      <c r="A199" t="s">
        <v>323</v>
      </c>
      <c r="E199" s="438">
        <v>1</v>
      </c>
    </row>
    <row r="200" spans="1:6" x14ac:dyDescent="0.25">
      <c r="A200" t="s">
        <v>325</v>
      </c>
      <c r="E200" s="439">
        <f t="shared" ref="E200" si="9">$B$1*E199</f>
        <v>30</v>
      </c>
    </row>
    <row r="201" spans="1:6" x14ac:dyDescent="0.25">
      <c r="A201" t="s">
        <v>327</v>
      </c>
      <c r="B201" t="s">
        <v>335</v>
      </c>
      <c r="C201" s="306">
        <v>0.16</v>
      </c>
      <c r="D201" s="307">
        <v>60</v>
      </c>
      <c r="E201" s="439">
        <f>C201*$E$199*D201</f>
        <v>9.6</v>
      </c>
    </row>
    <row r="202" spans="1:6" x14ac:dyDescent="0.25">
      <c r="B202" t="s">
        <v>38</v>
      </c>
      <c r="C202" s="306">
        <v>0.16</v>
      </c>
      <c r="D202" s="307">
        <v>332</v>
      </c>
      <c r="E202" s="439">
        <f>C202*$E$199*D202</f>
        <v>53.120000000000005</v>
      </c>
      <c r="F202" s="33" t="s">
        <v>421</v>
      </c>
    </row>
    <row r="203" spans="1:6" x14ac:dyDescent="0.25">
      <c r="B203" t="s">
        <v>332</v>
      </c>
      <c r="C203" s="308">
        <f>C204-SUM(C201:C202)</f>
        <v>0.67999999999999994</v>
      </c>
      <c r="D203" s="307">
        <v>0</v>
      </c>
      <c r="E203" s="439">
        <f>C203*$E$199*D203</f>
        <v>0</v>
      </c>
    </row>
    <row r="204" spans="1:6" x14ac:dyDescent="0.25">
      <c r="B204" t="s">
        <v>333</v>
      </c>
      <c r="C204" s="50">
        <v>1</v>
      </c>
      <c r="D204" s="50"/>
      <c r="E204" s="439"/>
    </row>
    <row r="205" spans="1:6" x14ac:dyDescent="0.25">
      <c r="E205" s="439"/>
    </row>
    <row r="206" spans="1:6" x14ac:dyDescent="0.25">
      <c r="B206" t="s">
        <v>334</v>
      </c>
      <c r="E206" s="439">
        <f>E200+SUM(E201:E203)</f>
        <v>92.72</v>
      </c>
    </row>
  </sheetData>
  <mergeCells count="20">
    <mergeCell ref="B3:E3"/>
    <mergeCell ref="B136:E136"/>
    <mergeCell ref="B12:E12"/>
    <mergeCell ref="B99:E99"/>
    <mergeCell ref="B87:E87"/>
    <mergeCell ref="B35:E35"/>
    <mergeCell ref="B76:E76"/>
    <mergeCell ref="B65:E65"/>
    <mergeCell ref="B55:E55"/>
    <mergeCell ref="B25:E25"/>
    <mergeCell ref="B45:E45"/>
    <mergeCell ref="B107:E107"/>
    <mergeCell ref="B116:E116"/>
    <mergeCell ref="B198:E198"/>
    <mergeCell ref="B126:E126"/>
    <mergeCell ref="B145:E145"/>
    <mergeCell ref="B167:E167"/>
    <mergeCell ref="B156:E156"/>
    <mergeCell ref="B177:E177"/>
    <mergeCell ref="B187:E187"/>
  </mergeCells>
  <hyperlinks>
    <hyperlink ref="F159" r:id="rId1" display="https://nl.renovablesverdes.com/De-overheid-actualiseert-de-prijzen-van-biodiesel-en-bio-ethanol-in-oktober/" xr:uid="{661B2A37-E446-4CD0-B3F1-B9DE97D48EC7}"/>
    <hyperlink ref="F15" r:id="rId2" display="https://www.abzdiervoeding.nl/grondstoffen/prijsverwachting-grondstoffen/" xr:uid="{E5C172F6-DACF-4FEB-9EDD-EB2572AA94FD}"/>
    <hyperlink ref="F160" r:id="rId3" display="https://agrimatie.nl/agrimatieprijzen/" xr:uid="{344D29E7-A15C-4DA1-AAA4-A8CB0D521273}"/>
    <hyperlink ref="F202" r:id="rId4" display="https://www.intratec.us/solutions/primary-commodity-prices/commodity/syngas-prices" xr:uid="{BEFEE7FC-02C0-4302-B77A-E0837280B931}"/>
    <hyperlink ref="F180" r:id="rId5" xr:uid="{9E03DDD7-CA47-48F9-9D4C-F971299055B5}"/>
    <hyperlink ref="F110" r:id="rId6" display="https://www.nmi-agro.nl/wp-content/uploads/2021/09/Rapport-1812-Bokashi-pilot-eindrapport-140921-def.pdf" xr:uid="{9C3BAF1D-6188-4509-A106-34CD1B06ACC4}"/>
    <hyperlink ref="F19" r:id="rId7" display="https://www.heemskerk-dairy.com/nl_NL/p/mono-calciumfosfaat-25-kg/307/" xr:uid="{9108E334-BEF6-44D6-B18B-4B5732240AE9}"/>
    <hyperlink ref="F38" r:id="rId8" display="https://ikwilbetonbestellen.nl/beton-prijs/" xr:uid="{B11F03EE-3D5B-4877-87EA-F35BFA5910F5}"/>
    <hyperlink ref="G38" r:id="rId9" display="https://baetro-machining.com/nl/blog/dichtheid-van-beton/" xr:uid="{9C33E12E-8287-4AA8-B65B-A26A75F27A88}"/>
    <hyperlink ref="F190" r:id="rId10" xr:uid="{6D536055-443B-4F77-B028-4AE26B2E8899}"/>
    <hyperlink ref="F148" r:id="rId11" location=":~:text=DLV%20Advies%20berekende%20een% " xr:uid="{D734F269-18AD-43E3-AFDE-EA6AD8555365}"/>
    <hyperlink ref="F28" r:id="rId12" xr:uid="{0FCC99AC-125E-4C3F-AB1F-DFAED823C6A9}"/>
    <hyperlink ref="F16" r:id="rId13" xr:uid="{4E291343-B0F4-4815-A5EA-6E93F0C04423}"/>
    <hyperlink ref="F6" r:id="rId14" xr:uid="{F93F1666-EE84-49EC-BB61-F842E058AFB1}"/>
    <hyperlink ref="F48" r:id="rId15" xr:uid="{4708A948-5D52-404E-8763-A6B1BD98440A}"/>
    <hyperlink ref="F58" r:id="rId16" xr:uid="{8C085B63-7778-4BB1-827D-6094D40595F3}"/>
    <hyperlink ref="F68" r:id="rId17" xr:uid="{EF631442-D993-4D91-AB06-16EF1BDDCA55}"/>
    <hyperlink ref="F79" r:id="rId18" xr:uid="{3B207E39-2A87-42B6-85DE-1862BFF425CB}"/>
    <hyperlink ref="F90" r:id="rId19" xr:uid="{0D88809E-FC87-4195-9094-9C88451B5C3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4C20-2819-4170-9453-26186142F4F7}">
  <dimension ref="A2:AC51"/>
  <sheetViews>
    <sheetView showGridLines="0" topLeftCell="A27" zoomScale="71" zoomScaleNormal="100" workbookViewId="0">
      <selection activeCell="S8" sqref="S8"/>
    </sheetView>
  </sheetViews>
  <sheetFormatPr defaultRowHeight="15" x14ac:dyDescent="0.25"/>
  <cols>
    <col min="1" max="1" width="14.28515625" customWidth="1"/>
    <col min="2" max="2" width="24.42578125" bestFit="1" customWidth="1"/>
    <col min="3" max="7" width="18.5703125" customWidth="1"/>
    <col min="8" max="8" width="17.28515625" bestFit="1" customWidth="1"/>
    <col min="9" max="9" width="18.5703125" customWidth="1"/>
    <col min="10" max="10" width="18" customWidth="1"/>
    <col min="11" max="11" width="17.140625" customWidth="1"/>
    <col min="12" max="12" width="15.5703125" customWidth="1"/>
    <col min="13" max="13" width="15" customWidth="1"/>
    <col min="14" max="14" width="14" bestFit="1" customWidth="1"/>
    <col min="15" max="15" width="15" bestFit="1" customWidth="1"/>
    <col min="16" max="16" width="16" bestFit="1" customWidth="1"/>
    <col min="17" max="17" width="16.85546875" bestFit="1" customWidth="1"/>
    <col min="18" max="25" width="15.7109375" customWidth="1"/>
    <col min="26" max="26" width="15.28515625" bestFit="1" customWidth="1"/>
    <col min="27" max="27" width="16.5703125" bestFit="1" customWidth="1"/>
    <col min="28" max="28" width="16" bestFit="1" customWidth="1"/>
    <col min="29" max="29" width="16.85546875" bestFit="1" customWidth="1"/>
  </cols>
  <sheetData>
    <row r="2" spans="1:24" x14ac:dyDescent="0.25">
      <c r="A2" s="649" t="s">
        <v>345</v>
      </c>
      <c r="B2" s="650"/>
      <c r="C2" s="651" t="s">
        <v>346</v>
      </c>
      <c r="D2" s="652"/>
      <c r="E2" s="652"/>
      <c r="F2" s="653"/>
      <c r="G2" s="297">
        <v>1</v>
      </c>
      <c r="H2" s="297">
        <v>0.25</v>
      </c>
      <c r="I2" s="297">
        <v>0.5</v>
      </c>
      <c r="K2" s="643" t="s">
        <v>347</v>
      </c>
      <c r="L2" s="4"/>
      <c r="M2" s="714">
        <v>0.5</v>
      </c>
      <c r="N2" s="185" t="s">
        <v>348</v>
      </c>
      <c r="O2" s="324"/>
      <c r="P2" s="4"/>
      <c r="Q2" s="4"/>
    </row>
    <row r="3" spans="1:24" ht="45" x14ac:dyDescent="0.25">
      <c r="A3" s="649"/>
      <c r="B3" s="650"/>
      <c r="C3" s="295" t="s">
        <v>83</v>
      </c>
      <c r="D3" s="295" t="s">
        <v>349</v>
      </c>
      <c r="E3" s="296" t="s">
        <v>91</v>
      </c>
      <c r="F3" s="296" t="s">
        <v>92</v>
      </c>
      <c r="G3" s="295" t="s">
        <v>350</v>
      </c>
      <c r="H3" s="295" t="s">
        <v>351</v>
      </c>
      <c r="I3" s="295" t="s">
        <v>351</v>
      </c>
      <c r="K3" s="643"/>
      <c r="L3" s="4"/>
      <c r="M3" s="4"/>
      <c r="N3" s="4"/>
      <c r="O3" s="4"/>
      <c r="P3" s="4"/>
      <c r="R3" s="4"/>
      <c r="S3" s="4"/>
    </row>
    <row r="4" spans="1:24" x14ac:dyDescent="0.25">
      <c r="A4" s="645" t="s">
        <v>352</v>
      </c>
      <c r="B4" s="286" t="s">
        <v>353</v>
      </c>
      <c r="C4" s="710">
        <f>134000/M2</f>
        <v>268000</v>
      </c>
      <c r="D4" s="710"/>
      <c r="E4" s="710"/>
      <c r="F4" s="711">
        <f>70000/M2</f>
        <v>140000</v>
      </c>
      <c r="G4" s="656">
        <f>ROUND(SUM(C4:F5),-5)</f>
        <v>1600000</v>
      </c>
      <c r="H4" s="722">
        <f>H2*G4</f>
        <v>400000</v>
      </c>
      <c r="I4" s="647">
        <f>I2*G4</f>
        <v>800000</v>
      </c>
      <c r="K4" s="640" t="s">
        <v>354</v>
      </c>
      <c r="L4" s="35"/>
      <c r="M4" s="15"/>
      <c r="N4" s="103" t="s">
        <v>352</v>
      </c>
      <c r="O4" s="1" t="s">
        <v>355</v>
      </c>
      <c r="P4" s="1" t="s">
        <v>356</v>
      </c>
      <c r="Q4" s="276" t="s">
        <v>357</v>
      </c>
      <c r="R4" s="641" t="s">
        <v>358</v>
      </c>
      <c r="S4" s="642"/>
    </row>
    <row r="5" spans="1:24" x14ac:dyDescent="0.25">
      <c r="A5" s="645"/>
      <c r="B5" s="298" t="s">
        <v>359</v>
      </c>
      <c r="C5" s="710">
        <f>513000/M2</f>
        <v>1026000</v>
      </c>
      <c r="D5" s="710"/>
      <c r="E5" s="710"/>
      <c r="F5" s="712">
        <f>75000/M2</f>
        <v>150000</v>
      </c>
      <c r="G5" s="657"/>
      <c r="H5" s="723"/>
      <c r="I5" s="648"/>
      <c r="K5" s="640"/>
      <c r="L5" s="35"/>
      <c r="M5" s="15"/>
      <c r="N5" s="103"/>
      <c r="O5" s="103"/>
      <c r="P5" s="1"/>
      <c r="Q5" s="278"/>
      <c r="R5" s="103" t="s">
        <v>360</v>
      </c>
      <c r="S5" s="103" t="s">
        <v>361</v>
      </c>
      <c r="T5" s="23"/>
      <c r="U5" s="23"/>
      <c r="V5" s="23"/>
      <c r="W5" s="23"/>
      <c r="X5" s="23"/>
    </row>
    <row r="6" spans="1:24" x14ac:dyDescent="0.25">
      <c r="A6" s="646" t="s">
        <v>355</v>
      </c>
      <c r="B6" s="646"/>
      <c r="C6" s="713">
        <v>100000</v>
      </c>
      <c r="D6" s="713">
        <v>170000</v>
      </c>
      <c r="E6" s="710">
        <v>230000</v>
      </c>
      <c r="F6" s="710"/>
      <c r="G6" s="321">
        <f>SUM(C6:F6)</f>
        <v>500000</v>
      </c>
      <c r="H6" s="724">
        <f>ROUND(G6*H2,-4)</f>
        <v>130000</v>
      </c>
      <c r="I6" s="322">
        <f>G6*I2</f>
        <v>250000</v>
      </c>
      <c r="K6" s="294" t="s">
        <v>354</v>
      </c>
      <c r="L6" s="35"/>
      <c r="M6" s="1" t="s">
        <v>362</v>
      </c>
      <c r="N6" s="104">
        <f>(1-N8)/3</f>
        <v>0.27291666666666664</v>
      </c>
      <c r="O6" s="105">
        <f>C6/G6</f>
        <v>0.2</v>
      </c>
      <c r="P6" s="105">
        <f>G$7/4/G$7</f>
        <v>0.25</v>
      </c>
      <c r="Q6" s="279">
        <f>R6/R10</f>
        <v>0.25507246376811593</v>
      </c>
      <c r="R6" s="106">
        <f>N6*G$4+O6*G$6+P6*G$7</f>
        <v>586666.66666666663</v>
      </c>
      <c r="S6" s="106">
        <f>R6*(1-C18)*H18</f>
        <v>222933.33333333331</v>
      </c>
      <c r="T6" s="115"/>
      <c r="U6" s="115"/>
      <c r="V6" s="115"/>
      <c r="W6" s="115"/>
      <c r="X6" s="115"/>
    </row>
    <row r="7" spans="1:24" x14ac:dyDescent="0.25">
      <c r="A7" s="654" t="s">
        <v>363</v>
      </c>
      <c r="B7" s="286" t="s">
        <v>364</v>
      </c>
      <c r="C7" s="710">
        <f>200000-C8</f>
        <v>196000</v>
      </c>
      <c r="D7" s="710"/>
      <c r="E7" s="710"/>
      <c r="F7" s="710"/>
      <c r="G7" s="647">
        <f>SUM(C7:F8)</f>
        <v>200000</v>
      </c>
      <c r="H7" s="725">
        <f>ROUND(G7*H2,-4)</f>
        <v>50000</v>
      </c>
      <c r="I7" s="647">
        <f>G7*I2</f>
        <v>100000</v>
      </c>
      <c r="K7" s="640" t="s">
        <v>354</v>
      </c>
      <c r="L7" s="35"/>
      <c r="M7" s="1" t="s">
        <v>365</v>
      </c>
      <c r="N7" s="104">
        <f>(1-N8)/3</f>
        <v>0.27291666666666664</v>
      </c>
      <c r="O7" s="105">
        <f>D6/G6</f>
        <v>0.34</v>
      </c>
      <c r="P7" s="105">
        <f t="shared" ref="P7:P9" si="0">G$7/4/G$7</f>
        <v>0.25</v>
      </c>
      <c r="Q7" s="279">
        <f>R7/R10</f>
        <v>0.28550724637681157</v>
      </c>
      <c r="R7" s="106">
        <f>N7*G$4+O7*G$6+P7*G$7</f>
        <v>656666.66666666663</v>
      </c>
      <c r="S7" s="106">
        <f>R7*(1-C19)*H19</f>
        <v>262009.99999999997</v>
      </c>
      <c r="T7" s="115"/>
      <c r="U7" s="115"/>
      <c r="V7" s="115"/>
      <c r="W7" s="115"/>
      <c r="X7" s="115"/>
    </row>
    <row r="8" spans="1:24" x14ac:dyDescent="0.25">
      <c r="A8" s="655"/>
      <c r="B8" s="286" t="s">
        <v>366</v>
      </c>
      <c r="C8" s="710">
        <v>4000</v>
      </c>
      <c r="D8" s="710"/>
      <c r="E8" s="710"/>
      <c r="F8" s="710"/>
      <c r="G8" s="648"/>
      <c r="H8" s="726"/>
      <c r="I8" s="648"/>
      <c r="K8" s="640"/>
      <c r="L8" s="35"/>
      <c r="M8" s="1" t="s">
        <v>367</v>
      </c>
      <c r="N8" s="104">
        <f>SUM(F4:F5)/G4</f>
        <v>0.18124999999999999</v>
      </c>
      <c r="O8" s="105">
        <f>E6/G6/2</f>
        <v>0.23</v>
      </c>
      <c r="P8" s="105">
        <f t="shared" si="0"/>
        <v>0.25</v>
      </c>
      <c r="Q8" s="279">
        <f>R8/R10</f>
        <v>0.19782608695652174</v>
      </c>
      <c r="R8" s="106">
        <f>N8*G$4+O8*G$6+P8*G$7</f>
        <v>455000</v>
      </c>
      <c r="S8" s="106">
        <f>R8*(1-C20)*H20</f>
        <v>27072.500000000004</v>
      </c>
      <c r="T8" s="115"/>
      <c r="U8" s="115"/>
      <c r="V8" s="115"/>
      <c r="W8" s="115"/>
      <c r="X8" s="115"/>
    </row>
    <row r="9" spans="1:24" x14ac:dyDescent="0.25">
      <c r="A9" s="644" t="s">
        <v>368</v>
      </c>
      <c r="B9" s="644"/>
      <c r="C9" s="644"/>
      <c r="D9" s="293"/>
      <c r="E9" s="293"/>
      <c r="F9" s="293"/>
      <c r="G9" s="323">
        <f>SUM(G4:G8)</f>
        <v>2300000</v>
      </c>
      <c r="H9" s="323">
        <f>SUM(H4:H8)</f>
        <v>580000</v>
      </c>
      <c r="I9" s="323">
        <f>SUM(I4:I8)</f>
        <v>1150000</v>
      </c>
      <c r="K9" s="222"/>
      <c r="M9" s="1" t="s">
        <v>369</v>
      </c>
      <c r="N9" s="104">
        <f>(1-N8)/3</f>
        <v>0.27291666666666664</v>
      </c>
      <c r="O9" s="105">
        <f>E6/G6/2</f>
        <v>0.23</v>
      </c>
      <c r="P9" s="105">
        <f t="shared" si="0"/>
        <v>0.25</v>
      </c>
      <c r="Q9" s="279">
        <f>R9/R10</f>
        <v>0.26159420289855073</v>
      </c>
      <c r="R9" s="106">
        <f>N9*G$4+O9*G$6+P9*G$7</f>
        <v>601666.66666666663</v>
      </c>
      <c r="S9" s="106">
        <f>R9*(1-C21)*H21</f>
        <v>234349.16666666663</v>
      </c>
      <c r="T9" s="115"/>
      <c r="U9" s="115"/>
      <c r="V9" s="115"/>
      <c r="W9" s="115"/>
      <c r="X9" s="115"/>
    </row>
    <row r="10" spans="1:24" x14ac:dyDescent="0.25">
      <c r="M10" s="1"/>
      <c r="N10" s="1"/>
      <c r="O10" s="1"/>
      <c r="P10" s="1"/>
      <c r="Q10" s="277">
        <f>SUM(Q6:Q9)</f>
        <v>0.99999999999999989</v>
      </c>
      <c r="R10" s="107">
        <f>SUM(R6:R9)</f>
        <v>2300000</v>
      </c>
      <c r="S10" s="107">
        <f>SUM(S6:S9)</f>
        <v>746364.99999999988</v>
      </c>
      <c r="T10" s="280"/>
      <c r="U10" s="280"/>
      <c r="V10" s="280"/>
      <c r="W10" s="280"/>
      <c r="X10" s="280"/>
    </row>
    <row r="11" spans="1:24" x14ac:dyDescent="0.25">
      <c r="D11" s="324"/>
    </row>
    <row r="16" spans="1:24" x14ac:dyDescent="0.25">
      <c r="C16" s="639" t="s">
        <v>370</v>
      </c>
      <c r="D16" s="639"/>
    </row>
    <row r="17" spans="2:29" ht="45" x14ac:dyDescent="0.25">
      <c r="B17" s="78"/>
      <c r="C17" s="54" t="s">
        <v>371</v>
      </c>
      <c r="D17" s="38"/>
      <c r="E17" s="58" t="s">
        <v>372</v>
      </c>
      <c r="F17" s="38" t="s">
        <v>373</v>
      </c>
      <c r="G17" s="38" t="s">
        <v>374</v>
      </c>
      <c r="H17" s="57" t="s">
        <v>375</v>
      </c>
      <c r="I17" s="38"/>
      <c r="J17" s="38"/>
      <c r="K17" s="54" t="s">
        <v>376</v>
      </c>
      <c r="L17" s="38" t="s">
        <v>377</v>
      </c>
      <c r="M17" s="57" t="s">
        <v>378</v>
      </c>
      <c r="N17" s="54" t="s">
        <v>379</v>
      </c>
      <c r="O17" s="38" t="s">
        <v>380</v>
      </c>
      <c r="P17" s="38" t="s">
        <v>381</v>
      </c>
      <c r="Q17" s="38" t="s">
        <v>382</v>
      </c>
      <c r="R17" s="54" t="s">
        <v>383</v>
      </c>
      <c r="S17" s="23" t="s">
        <v>249</v>
      </c>
      <c r="T17" s="23" t="s">
        <v>247</v>
      </c>
      <c r="U17" s="23" t="s">
        <v>242</v>
      </c>
      <c r="V17" s="23" t="s">
        <v>221</v>
      </c>
      <c r="W17" s="23" t="s">
        <v>384</v>
      </c>
      <c r="X17" s="38" t="s">
        <v>385</v>
      </c>
      <c r="Y17" s="38" t="s">
        <v>386</v>
      </c>
      <c r="Z17" s="57" t="s">
        <v>387</v>
      </c>
    </row>
    <row r="18" spans="2:29" x14ac:dyDescent="0.25">
      <c r="B18" s="78" t="s">
        <v>362</v>
      </c>
      <c r="C18" s="715">
        <v>0.05</v>
      </c>
      <c r="D18" s="47">
        <f>C18*1000</f>
        <v>50</v>
      </c>
      <c r="E18" s="55">
        <f>100%-H18</f>
        <v>0.6</v>
      </c>
      <c r="F18" s="59">
        <f>5%*H18</f>
        <v>2.0000000000000004E-2</v>
      </c>
      <c r="G18" s="59">
        <f>95%*H18</f>
        <v>0.38</v>
      </c>
      <c r="H18" s="60">
        <v>0.4</v>
      </c>
      <c r="I18" s="59"/>
      <c r="J18" s="59"/>
      <c r="K18" s="55">
        <f>100%-C18</f>
        <v>0.95</v>
      </c>
      <c r="L18" s="59">
        <f>(100%-(E18-E48))*K18</f>
        <v>0.85499999999999998</v>
      </c>
      <c r="M18" s="60">
        <f>(100%-(E18-E41))*K18</f>
        <v>0.47499999999999998</v>
      </c>
      <c r="N18" s="75">
        <f>18.8*G18-2.256*E18</f>
        <v>5.7904</v>
      </c>
      <c r="O18" s="73">
        <f>K48</f>
        <v>7.8019999999999996</v>
      </c>
      <c r="P18" s="73">
        <f>K41</f>
        <v>15.848400000000002</v>
      </c>
      <c r="Q18" s="73">
        <f>K34</f>
        <v>17.86</v>
      </c>
      <c r="R18" s="65">
        <f>100%-S18</f>
        <v>0.7</v>
      </c>
      <c r="S18" s="66">
        <v>0.3</v>
      </c>
      <c r="T18" s="66">
        <v>0.2</v>
      </c>
      <c r="U18" s="67">
        <v>2E-3</v>
      </c>
      <c r="V18" s="135">
        <v>1E-3</v>
      </c>
      <c r="W18" s="66">
        <f>SUM(X18:Z18)</f>
        <v>0.63</v>
      </c>
      <c r="X18" s="66">
        <v>0.25</v>
      </c>
      <c r="Y18" s="66">
        <v>0.26</v>
      </c>
      <c r="Z18" s="68">
        <v>0.12</v>
      </c>
      <c r="AA18" s="23"/>
    </row>
    <row r="19" spans="2:29" x14ac:dyDescent="0.25">
      <c r="B19" s="78" t="s">
        <v>365</v>
      </c>
      <c r="C19" s="715">
        <v>0.05</v>
      </c>
      <c r="D19" s="47">
        <f>C19*1000</f>
        <v>50</v>
      </c>
      <c r="E19" s="55">
        <f t="shared" ref="E19:E21" si="1">100%-H19</f>
        <v>0.58000000000000007</v>
      </c>
      <c r="F19" s="59">
        <f>8%*H19</f>
        <v>3.3599999999999998E-2</v>
      </c>
      <c r="G19" s="59">
        <f>92%*H19</f>
        <v>0.38640000000000002</v>
      </c>
      <c r="H19" s="60">
        <v>0.42</v>
      </c>
      <c r="I19" s="59"/>
      <c r="J19" s="59"/>
      <c r="K19" s="55">
        <f>100%-C19</f>
        <v>0.95</v>
      </c>
      <c r="L19" s="59">
        <f>(100%-(E19-E49))*K19</f>
        <v>0.87399999999999989</v>
      </c>
      <c r="M19" s="60">
        <f>(100%-(E19-E42))*K19</f>
        <v>0.49399999999999988</v>
      </c>
      <c r="N19" s="75">
        <f t="shared" ref="N19:N21" si="2">18.8*G19-2.256*E19</f>
        <v>5.9558400000000002</v>
      </c>
      <c r="O19" s="73">
        <f>K49</f>
        <v>7.5200000000000014</v>
      </c>
      <c r="P19" s="73">
        <f>K42</f>
        <v>15.340800000000002</v>
      </c>
      <c r="Q19" s="63">
        <f t="shared" ref="Q19:Q21" si="3">K35</f>
        <v>17.296000000000003</v>
      </c>
      <c r="R19" s="66">
        <f t="shared" ref="R19:R21" si="4">100%-S19</f>
        <v>0.6</v>
      </c>
      <c r="S19" s="69">
        <v>0.4</v>
      </c>
      <c r="T19" s="66">
        <v>0.2</v>
      </c>
      <c r="U19" s="67">
        <v>1E-3</v>
      </c>
      <c r="V19" s="135">
        <v>1E-3</v>
      </c>
      <c r="W19" s="66">
        <f>SUM(X19:Z19)</f>
        <v>0.95</v>
      </c>
      <c r="X19" s="66">
        <v>0.45</v>
      </c>
      <c r="Y19" s="66">
        <v>0.26</v>
      </c>
      <c r="Z19" s="68">
        <v>0.24</v>
      </c>
      <c r="AA19" s="36"/>
    </row>
    <row r="20" spans="2:29" x14ac:dyDescent="0.25">
      <c r="B20" s="78" t="s">
        <v>367</v>
      </c>
      <c r="C20" s="715">
        <v>0.15</v>
      </c>
      <c r="D20" s="47">
        <f>C20*1000</f>
        <v>150</v>
      </c>
      <c r="E20" s="55">
        <f t="shared" si="1"/>
        <v>0.92999999999999994</v>
      </c>
      <c r="F20" s="59">
        <f>15%*H20</f>
        <v>1.0500000000000001E-2</v>
      </c>
      <c r="G20" s="59">
        <f>85%*H20</f>
        <v>5.9500000000000004E-2</v>
      </c>
      <c r="H20" s="60">
        <v>7.0000000000000007E-2</v>
      </c>
      <c r="I20" s="59"/>
      <c r="J20" s="59"/>
      <c r="K20" s="55">
        <f>100%-C20</f>
        <v>0.85</v>
      </c>
      <c r="L20" s="59">
        <f>(100%-(E20-E50))*K20</f>
        <v>0.48450000000000004</v>
      </c>
      <c r="M20" s="60">
        <f>(100%-(E20-E43))*K20</f>
        <v>0.14450000000000002</v>
      </c>
      <c r="N20" s="75">
        <f t="shared" si="2"/>
        <v>-0.97947999999999946</v>
      </c>
      <c r="O20" s="73">
        <f>K50</f>
        <v>6.8620000000000001</v>
      </c>
      <c r="P20" s="73">
        <f>K43</f>
        <v>14.156400000000001</v>
      </c>
      <c r="Q20" s="63">
        <f t="shared" si="3"/>
        <v>15.98</v>
      </c>
      <c r="R20" s="66">
        <f t="shared" si="4"/>
        <v>0.7</v>
      </c>
      <c r="S20" s="69">
        <v>0.3</v>
      </c>
      <c r="T20" s="66">
        <v>0.15</v>
      </c>
      <c r="U20" s="67">
        <v>5.0000000000000001E-3</v>
      </c>
      <c r="V20" s="135">
        <v>1E-3</v>
      </c>
      <c r="W20" s="66">
        <f>SUM(X20:Z20)</f>
        <v>0.55000000000000004</v>
      </c>
      <c r="X20" s="66">
        <v>0.25</v>
      </c>
      <c r="Y20" s="66">
        <v>0.1</v>
      </c>
      <c r="Z20" s="68">
        <v>0.2</v>
      </c>
      <c r="AA20" s="37"/>
    </row>
    <row r="21" spans="2:29" x14ac:dyDescent="0.25">
      <c r="B21" s="79" t="s">
        <v>369</v>
      </c>
      <c r="C21" s="716">
        <v>0.05</v>
      </c>
      <c r="D21" s="47">
        <f>C21*1000</f>
        <v>50</v>
      </c>
      <c r="E21" s="56">
        <f t="shared" si="1"/>
        <v>0.59000000000000008</v>
      </c>
      <c r="F21" s="61">
        <f>AVERAGE(F18:F19)</f>
        <v>2.6800000000000001E-2</v>
      </c>
      <c r="G21" s="61">
        <f>AVERAGE(G18:G19)</f>
        <v>0.38319999999999999</v>
      </c>
      <c r="H21" s="62">
        <f>SUM(F21:G21)</f>
        <v>0.41</v>
      </c>
      <c r="I21" s="61"/>
      <c r="J21" s="61"/>
      <c r="K21" s="56">
        <f>100%-C21</f>
        <v>0.95</v>
      </c>
      <c r="L21" s="61">
        <f>(100%-(E21-E51))*K21</f>
        <v>0.86449999999999994</v>
      </c>
      <c r="M21" s="62">
        <f>(100%-(E21-E44))*K21</f>
        <v>0.48449999999999988</v>
      </c>
      <c r="N21" s="75">
        <f t="shared" si="2"/>
        <v>5.8731200000000001</v>
      </c>
      <c r="O21" s="74">
        <f>K51</f>
        <v>7.6610000000000014</v>
      </c>
      <c r="P21" s="74">
        <f>K44</f>
        <v>15.594600000000002</v>
      </c>
      <c r="Q21" s="64">
        <f t="shared" si="3"/>
        <v>17.578000000000003</v>
      </c>
      <c r="R21" s="66">
        <f t="shared" si="4"/>
        <v>0.7</v>
      </c>
      <c r="S21" s="69">
        <v>0.3</v>
      </c>
      <c r="T21" s="70">
        <v>0.2</v>
      </c>
      <c r="U21" s="71">
        <f>0.003</f>
        <v>3.0000000000000001E-3</v>
      </c>
      <c r="V21" s="136">
        <v>1E-3</v>
      </c>
      <c r="W21" s="70">
        <f>SUM(X21:Z21)</f>
        <v>0.71</v>
      </c>
      <c r="X21" s="70">
        <f>AVERAGE(X18:X20)</f>
        <v>0.31666666666666665</v>
      </c>
      <c r="Y21" s="70">
        <f t="shared" ref="Y21:Z21" si="5">AVERAGE(Y18:Y20)</f>
        <v>0.20666666666666667</v>
      </c>
      <c r="Z21" s="72">
        <f t="shared" si="5"/>
        <v>0.18666666666666668</v>
      </c>
      <c r="AA21" s="23"/>
    </row>
    <row r="22" spans="2:29" x14ac:dyDescent="0.25">
      <c r="B22" t="s">
        <v>388</v>
      </c>
      <c r="C22" s="53">
        <f>C18*Q6+C19*Q7+C20*Q8+C21*Q9</f>
        <v>6.9782608695652171E-2</v>
      </c>
      <c r="D22" s="51">
        <f t="shared" ref="D22" si="6">AVERAGE(D18:D21)</f>
        <v>75</v>
      </c>
      <c r="E22" s="52">
        <f>E18*Q6+E19*Q7+E20*Q8+E21*Q9</f>
        <v>0.65695652173913044</v>
      </c>
      <c r="F22" s="52">
        <f>F18*Q6+F19*Q7+F20*Q8+F21*Q9</f>
        <v>2.3782391304347828E-2</v>
      </c>
      <c r="G22" s="52">
        <f>G18*Q6+G19*Q7+G20*Q8+G21*Q9</f>
        <v>0.31926108695652172</v>
      </c>
      <c r="H22" s="52">
        <f>H18*Q6+H19*Q7+H20*Q8+H21*Q9</f>
        <v>0.34304347826086956</v>
      </c>
      <c r="I22" s="52"/>
      <c r="J22" s="52"/>
      <c r="K22" s="52">
        <f>K18*Q6+K19*Q7+K20*Q8+K21*Q9</f>
        <v>0.93021739130434788</v>
      </c>
      <c r="L22" s="52">
        <f>L18*Q6+L19*Q7+L20*Q8+L21*Q9</f>
        <v>0.78961521739130436</v>
      </c>
      <c r="M22" s="52">
        <f>M18*Q6+M19*Q7+M20*Q8+M21*Q9</f>
        <v>0.41752826086956518</v>
      </c>
      <c r="N22" s="76">
        <f>N18*Q6+N19*Q7+N20*Q8+N21*Q9</f>
        <v>4.5200145217391308</v>
      </c>
      <c r="O22" s="76">
        <f>O18*Q6+O19*Q7+O20*Q8+O21*Q9</f>
        <v>7.4986456521739138</v>
      </c>
      <c r="P22" s="76">
        <f>P18*Q6+P19*Q7+P20*Q8+P21*Q9</f>
        <v>15.302362173913043</v>
      </c>
      <c r="Q22" s="73">
        <f>Q18*Q6+Q19*Q7+Q20*Q8+Q21*Q9</f>
        <v>17.253291304347826</v>
      </c>
      <c r="R22" s="77">
        <f>R18*Q6+R19*Q7+R20*Q8+R21*Q9</f>
        <v>0.67144927536231891</v>
      </c>
      <c r="S22" s="77">
        <f>S18*Q6+S19*Q7+S20*Q8+S21*Q9</f>
        <v>0.32855072463768115</v>
      </c>
      <c r="T22" s="77">
        <f>T18*Q6+T19*Q7+T20*Q8+T21*Q9</f>
        <v>0.19010869565217392</v>
      </c>
      <c r="U22" s="111">
        <f>U18*Q6+U19*Q7+U20*Q8+U21*Q9</f>
        <v>2.5695652173913044E-3</v>
      </c>
      <c r="V22" s="111">
        <f>V18*Q6+V19*Q7+V20*Q8+V21*Q9</f>
        <v>1E-3</v>
      </c>
      <c r="W22" s="77">
        <f>W18*Q6+W19*Q7+W20*Q8+W21*Q9</f>
        <v>0.72646376811594204</v>
      </c>
      <c r="X22" s="77">
        <f>X18*Q6+X19*Q7+X20*Q8+X21*Q9</f>
        <v>0.32454106280193235</v>
      </c>
      <c r="Y22" s="77">
        <f>Y18*Q6+Y19*Q7+Y20*Q8+Y21*Q9</f>
        <v>0.21439613526570048</v>
      </c>
      <c r="Z22" s="77">
        <f>Z18*Q6+Z19*Q7+Z20*Q8+Z21*Q9</f>
        <v>0.18752657004830919</v>
      </c>
    </row>
    <row r="24" spans="2:29" x14ac:dyDescent="0.25">
      <c r="N24" s="129"/>
      <c r="AB24" s="50"/>
      <c r="AC24" s="50"/>
    </row>
    <row r="25" spans="2:29" x14ac:dyDescent="0.25">
      <c r="P25" s="115"/>
    </row>
    <row r="26" spans="2:29" x14ac:dyDescent="0.25">
      <c r="C26" s="324"/>
      <c r="G26" s="34"/>
      <c r="H26" s="34"/>
      <c r="I26" s="34"/>
      <c r="J26" s="34"/>
      <c r="K26" s="34"/>
      <c r="M26" t="s">
        <v>64</v>
      </c>
    </row>
    <row r="27" spans="2:29" x14ac:dyDescent="0.25">
      <c r="E27" s="50"/>
      <c r="G27" s="34"/>
      <c r="H27" s="34"/>
      <c r="I27" s="34"/>
      <c r="J27" s="34"/>
    </row>
    <row r="28" spans="2:29" x14ac:dyDescent="0.25">
      <c r="G28" s="34"/>
      <c r="H28" s="34"/>
      <c r="I28" s="34"/>
      <c r="J28" s="34"/>
    </row>
    <row r="29" spans="2:29" x14ac:dyDescent="0.25">
      <c r="G29" s="34"/>
      <c r="H29" s="34"/>
      <c r="I29" s="34"/>
      <c r="J29" s="34"/>
    </row>
    <row r="30" spans="2:29" x14ac:dyDescent="0.25">
      <c r="G30" s="34"/>
      <c r="H30" s="34"/>
      <c r="I30" s="34"/>
      <c r="J30" s="34"/>
    </row>
    <row r="33" spans="2:11" ht="45" x14ac:dyDescent="0.25">
      <c r="C33" s="44"/>
      <c r="D33" s="45" t="s">
        <v>389</v>
      </c>
      <c r="E33" s="46" t="s">
        <v>372</v>
      </c>
      <c r="F33" s="45" t="s">
        <v>373</v>
      </c>
      <c r="G33" s="45" t="s">
        <v>374</v>
      </c>
      <c r="H33" s="45" t="s">
        <v>375</v>
      </c>
      <c r="I33" s="45"/>
      <c r="J33" s="45"/>
      <c r="K33" s="46" t="s">
        <v>390</v>
      </c>
    </row>
    <row r="34" spans="2:11" x14ac:dyDescent="0.25">
      <c r="C34" s="44" t="s">
        <v>362</v>
      </c>
      <c r="D34" s="42">
        <v>0.05</v>
      </c>
      <c r="E34" s="42">
        <f>100%-H34</f>
        <v>0</v>
      </c>
      <c r="F34" s="42">
        <f>5%*H34</f>
        <v>0.05</v>
      </c>
      <c r="G34" s="42">
        <f>95%*H34</f>
        <v>0.95</v>
      </c>
      <c r="H34" s="42">
        <v>1</v>
      </c>
      <c r="I34" s="42"/>
      <c r="J34" s="42"/>
      <c r="K34" s="43">
        <f>18.8*G34-2.256*E34</f>
        <v>17.86</v>
      </c>
    </row>
    <row r="35" spans="2:11" x14ac:dyDescent="0.25">
      <c r="C35" s="44" t="s">
        <v>365</v>
      </c>
      <c r="D35" s="42">
        <v>0.05</v>
      </c>
      <c r="E35" s="42">
        <f t="shared" ref="E35:E37" si="7">100%-H35</f>
        <v>0</v>
      </c>
      <c r="F35" s="42">
        <f>8%*H35</f>
        <v>0.08</v>
      </c>
      <c r="G35" s="42">
        <f>92%*H35</f>
        <v>0.92</v>
      </c>
      <c r="H35" s="42">
        <v>1</v>
      </c>
      <c r="I35" s="42"/>
      <c r="J35" s="42"/>
      <c r="K35" s="43">
        <f>18.8*G35-2.256*E35</f>
        <v>17.296000000000003</v>
      </c>
    </row>
    <row r="36" spans="2:11" x14ac:dyDescent="0.25">
      <c r="C36" s="44" t="s">
        <v>367</v>
      </c>
      <c r="D36" s="42">
        <v>0.3</v>
      </c>
      <c r="E36" s="42">
        <f t="shared" si="7"/>
        <v>0</v>
      </c>
      <c r="F36" s="42">
        <f>15%*H36</f>
        <v>0.15</v>
      </c>
      <c r="G36" s="42">
        <f>85%*H36</f>
        <v>0.85</v>
      </c>
      <c r="H36" s="42">
        <v>1</v>
      </c>
      <c r="I36" s="42"/>
      <c r="J36" s="42"/>
      <c r="K36" s="43">
        <f>18.8*G36-2.256*E36</f>
        <v>15.98</v>
      </c>
    </row>
    <row r="37" spans="2:11" x14ac:dyDescent="0.25">
      <c r="B37" s="44"/>
      <c r="C37" s="44" t="s">
        <v>369</v>
      </c>
      <c r="D37" s="42">
        <v>0.05</v>
      </c>
      <c r="E37" s="42">
        <f t="shared" si="7"/>
        <v>0</v>
      </c>
      <c r="F37" s="42">
        <f>AVERAGE(F34:F35)</f>
        <v>6.5000000000000002E-2</v>
      </c>
      <c r="G37" s="42">
        <f>AVERAGE(G34:G35)</f>
        <v>0.93500000000000005</v>
      </c>
      <c r="H37" s="42">
        <v>1</v>
      </c>
      <c r="I37" s="42"/>
      <c r="J37" s="42"/>
      <c r="K37" s="43">
        <f>18.8*G37-2.256*E37</f>
        <v>17.578000000000003</v>
      </c>
    </row>
    <row r="38" spans="2:11" x14ac:dyDescent="0.25">
      <c r="B38" s="44"/>
    </row>
    <row r="39" spans="2:11" x14ac:dyDescent="0.25">
      <c r="B39" s="44"/>
    </row>
    <row r="40" spans="2:11" ht="45" x14ac:dyDescent="0.25">
      <c r="B40" s="44"/>
      <c r="C40" s="44"/>
      <c r="D40" s="45" t="s">
        <v>389</v>
      </c>
      <c r="E40" s="46" t="s">
        <v>372</v>
      </c>
      <c r="F40" s="45" t="s">
        <v>373</v>
      </c>
      <c r="G40" s="45" t="s">
        <v>374</v>
      </c>
      <c r="H40" s="45" t="s">
        <v>375</v>
      </c>
      <c r="I40" s="45"/>
      <c r="J40" s="45"/>
      <c r="K40" s="46" t="s">
        <v>390</v>
      </c>
    </row>
    <row r="41" spans="2:11" x14ac:dyDescent="0.25">
      <c r="B41" s="44"/>
      <c r="C41" s="44" t="s">
        <v>362</v>
      </c>
      <c r="D41" s="42">
        <v>0.05</v>
      </c>
      <c r="E41" s="42">
        <f>100%-H41</f>
        <v>9.9999999999999978E-2</v>
      </c>
      <c r="F41" s="42">
        <f>5%*H41</f>
        <v>4.5000000000000005E-2</v>
      </c>
      <c r="G41" s="42">
        <f>95%*H41</f>
        <v>0.85499999999999998</v>
      </c>
      <c r="H41" s="42">
        <v>0.9</v>
      </c>
      <c r="I41" s="42"/>
      <c r="J41" s="42"/>
      <c r="K41" s="43">
        <f>18.8*G41-2.256*E41</f>
        <v>15.848400000000002</v>
      </c>
    </row>
    <row r="42" spans="2:11" x14ac:dyDescent="0.25">
      <c r="C42" s="44" t="s">
        <v>365</v>
      </c>
      <c r="D42" s="42">
        <v>0.05</v>
      </c>
      <c r="E42" s="42">
        <f t="shared" ref="E42:E44" si="8">100%-H42</f>
        <v>9.9999999999999978E-2</v>
      </c>
      <c r="F42" s="42">
        <f>8%*H42</f>
        <v>7.2000000000000008E-2</v>
      </c>
      <c r="G42" s="42">
        <f>92%*H42</f>
        <v>0.82800000000000007</v>
      </c>
      <c r="H42" s="42">
        <v>0.9</v>
      </c>
      <c r="I42" s="42"/>
      <c r="J42" s="42"/>
      <c r="K42" s="43">
        <f>18.8*G42-2.256*E42</f>
        <v>15.340800000000002</v>
      </c>
    </row>
    <row r="43" spans="2:11" x14ac:dyDescent="0.25">
      <c r="C43" s="44" t="s">
        <v>367</v>
      </c>
      <c r="D43" s="42">
        <v>0.3</v>
      </c>
      <c r="E43" s="42">
        <f t="shared" si="8"/>
        <v>9.9999999999999978E-2</v>
      </c>
      <c r="F43" s="42">
        <f>15%*H43</f>
        <v>0.13500000000000001</v>
      </c>
      <c r="G43" s="42">
        <f>85%*H43</f>
        <v>0.76500000000000001</v>
      </c>
      <c r="H43" s="42">
        <v>0.9</v>
      </c>
      <c r="I43" s="42"/>
      <c r="J43" s="42"/>
      <c r="K43" s="43">
        <f>18.8*G43-2.256*E43</f>
        <v>14.156400000000001</v>
      </c>
    </row>
    <row r="44" spans="2:11" x14ac:dyDescent="0.25">
      <c r="C44" s="44" t="s">
        <v>369</v>
      </c>
      <c r="D44" s="42">
        <v>0.05</v>
      </c>
      <c r="E44" s="42">
        <f t="shared" si="8"/>
        <v>9.9999999999999978E-2</v>
      </c>
      <c r="F44" s="42">
        <f>AVERAGE(F41:F42)</f>
        <v>5.850000000000001E-2</v>
      </c>
      <c r="G44" s="42">
        <f>AVERAGE(G41:G42)</f>
        <v>0.84150000000000003</v>
      </c>
      <c r="H44" s="42">
        <v>0.9</v>
      </c>
      <c r="I44" s="42"/>
      <c r="J44" s="42"/>
      <c r="K44" s="43">
        <f>18.8*G44-2.256*E44</f>
        <v>15.594600000000002</v>
      </c>
    </row>
    <row r="47" spans="2:11" ht="45" x14ac:dyDescent="0.25">
      <c r="C47" s="44"/>
      <c r="D47" s="45" t="s">
        <v>389</v>
      </c>
      <c r="E47" s="46" t="s">
        <v>372</v>
      </c>
      <c r="F47" s="45" t="s">
        <v>373</v>
      </c>
      <c r="G47" s="45" t="s">
        <v>374</v>
      </c>
      <c r="H47" s="45" t="s">
        <v>375</v>
      </c>
      <c r="I47" s="45"/>
      <c r="J47" s="45"/>
      <c r="K47" s="46" t="s">
        <v>390</v>
      </c>
    </row>
    <row r="48" spans="2:11" x14ac:dyDescent="0.25">
      <c r="C48" s="44" t="s">
        <v>362</v>
      </c>
      <c r="D48" s="42">
        <v>0.05</v>
      </c>
      <c r="E48" s="42">
        <f>100%-H48</f>
        <v>0.5</v>
      </c>
      <c r="F48" s="42">
        <f>5%*H48</f>
        <v>2.5000000000000001E-2</v>
      </c>
      <c r="G48" s="42">
        <f>95%*H48</f>
        <v>0.47499999999999998</v>
      </c>
      <c r="H48" s="42">
        <v>0.5</v>
      </c>
      <c r="I48" s="42"/>
      <c r="J48" s="42"/>
      <c r="K48" s="43">
        <f>18.8*G48-2.256*E48</f>
        <v>7.8019999999999996</v>
      </c>
    </row>
    <row r="49" spans="3:11" x14ac:dyDescent="0.25">
      <c r="C49" s="44" t="s">
        <v>365</v>
      </c>
      <c r="D49" s="42">
        <v>0.05</v>
      </c>
      <c r="E49" s="42">
        <f t="shared" ref="E49:E51" si="9">100%-H49</f>
        <v>0.5</v>
      </c>
      <c r="F49" s="42">
        <f>8%*H49</f>
        <v>0.04</v>
      </c>
      <c r="G49" s="42">
        <f>92%*H49</f>
        <v>0.46</v>
      </c>
      <c r="H49" s="42">
        <v>0.5</v>
      </c>
      <c r="I49" s="42"/>
      <c r="J49" s="42"/>
      <c r="K49" s="43">
        <f>18.8*G49-2.256*E49</f>
        <v>7.5200000000000014</v>
      </c>
    </row>
    <row r="50" spans="3:11" x14ac:dyDescent="0.25">
      <c r="C50" s="44" t="s">
        <v>367</v>
      </c>
      <c r="D50" s="42">
        <v>0.3</v>
      </c>
      <c r="E50" s="42">
        <f t="shared" si="9"/>
        <v>0.5</v>
      </c>
      <c r="F50" s="42">
        <f>15%*H50</f>
        <v>7.4999999999999997E-2</v>
      </c>
      <c r="G50" s="42">
        <f>85%*H50</f>
        <v>0.42499999999999999</v>
      </c>
      <c r="H50" s="42">
        <v>0.5</v>
      </c>
      <c r="I50" s="42"/>
      <c r="J50" s="42"/>
      <c r="K50" s="43">
        <f>18.8*G50-2.256*E50</f>
        <v>6.8620000000000001</v>
      </c>
    </row>
    <row r="51" spans="3:11" x14ac:dyDescent="0.25">
      <c r="C51" s="44" t="s">
        <v>369</v>
      </c>
      <c r="D51" s="42">
        <v>0.05</v>
      </c>
      <c r="E51" s="42">
        <f t="shared" si="9"/>
        <v>0.5</v>
      </c>
      <c r="F51" s="42">
        <f>AVERAGE(F48:F49)</f>
        <v>3.2500000000000001E-2</v>
      </c>
      <c r="G51" s="42">
        <f>AVERAGE(G48:G49)</f>
        <v>0.46750000000000003</v>
      </c>
      <c r="H51" s="42">
        <v>0.5</v>
      </c>
      <c r="I51" s="42"/>
      <c r="J51" s="42"/>
      <c r="K51" s="43">
        <f>18.8*G51-2.256*E51</f>
        <v>7.6610000000000014</v>
      </c>
    </row>
  </sheetData>
  <mergeCells count="23">
    <mergeCell ref="C5:E5"/>
    <mergeCell ref="E6:F6"/>
    <mergeCell ref="H7:H8"/>
    <mergeCell ref="G4:G5"/>
    <mergeCell ref="I4:I5"/>
    <mergeCell ref="C7:F7"/>
    <mergeCell ref="C8:F8"/>
    <mergeCell ref="K7:K8"/>
    <mergeCell ref="K4:K5"/>
    <mergeCell ref="R4:S4"/>
    <mergeCell ref="C16:D16"/>
    <mergeCell ref="K2:K3"/>
    <mergeCell ref="A9:C9"/>
    <mergeCell ref="A4:A5"/>
    <mergeCell ref="A6:B6"/>
    <mergeCell ref="H4:H5"/>
    <mergeCell ref="I7:I8"/>
    <mergeCell ref="A2:A3"/>
    <mergeCell ref="B2:B3"/>
    <mergeCell ref="C2:F2"/>
    <mergeCell ref="A7:A8"/>
    <mergeCell ref="G7:G8"/>
    <mergeCell ref="C4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BFDD-1C84-4281-81DF-8D42498A22AE}">
  <dimension ref="A1:U35"/>
  <sheetViews>
    <sheetView zoomScale="95" zoomScaleNormal="70" workbookViewId="0">
      <selection activeCell="N14" sqref="N14"/>
    </sheetView>
  </sheetViews>
  <sheetFormatPr defaultRowHeight="15" x14ac:dyDescent="0.25"/>
  <cols>
    <col min="4" max="4" width="14" bestFit="1" customWidth="1"/>
    <col min="5" max="5" width="12.42578125" bestFit="1" customWidth="1"/>
    <col min="8" max="8" width="14" bestFit="1" customWidth="1"/>
    <col min="9" max="9" width="12.42578125" bestFit="1" customWidth="1"/>
    <col min="15" max="15" width="22.42578125" bestFit="1" customWidth="1"/>
    <col min="16" max="16" width="18.42578125" bestFit="1" customWidth="1"/>
    <col min="19" max="19" width="19.28515625" bestFit="1" customWidth="1"/>
    <col min="20" max="20" width="19.7109375" customWidth="1"/>
  </cols>
  <sheetData>
    <row r="1" spans="1:21" x14ac:dyDescent="0.25">
      <c r="A1" s="137"/>
    </row>
    <row r="6" spans="1:21" x14ac:dyDescent="0.25">
      <c r="C6" s="1" t="s">
        <v>391</v>
      </c>
      <c r="D6" s="1"/>
      <c r="E6" s="1"/>
      <c r="F6" s="1"/>
      <c r="G6" s="1"/>
      <c r="H6" s="284" t="s">
        <v>392</v>
      </c>
      <c r="I6" s="721" t="s">
        <v>393</v>
      </c>
      <c r="J6" t="s">
        <v>64</v>
      </c>
      <c r="P6" s="662" t="s">
        <v>394</v>
      </c>
      <c r="Q6" s="663"/>
      <c r="R6" s="664"/>
      <c r="S6" s="284" t="s">
        <v>392</v>
      </c>
      <c r="T6" s="285" t="s">
        <v>395</v>
      </c>
      <c r="U6" t="s">
        <v>64</v>
      </c>
    </row>
    <row r="7" spans="1:21" ht="30" x14ac:dyDescent="0.25">
      <c r="C7" s="661" t="s">
        <v>236</v>
      </c>
      <c r="D7" s="661"/>
      <c r="E7" s="661"/>
      <c r="F7" s="661"/>
      <c r="G7" s="661"/>
      <c r="H7" s="661"/>
      <c r="I7" s="661"/>
      <c r="P7" s="281" t="s">
        <v>396</v>
      </c>
      <c r="Q7" s="667" t="s">
        <v>397</v>
      </c>
      <c r="R7" s="668"/>
      <c r="S7" s="282" t="s">
        <v>398</v>
      </c>
      <c r="T7" s="282" t="s">
        <v>399</v>
      </c>
    </row>
    <row r="8" spans="1:21" x14ac:dyDescent="0.25">
      <c r="C8" s="276" t="s">
        <v>400</v>
      </c>
      <c r="D8" s="717">
        <v>75623</v>
      </c>
      <c r="E8" s="286" t="s">
        <v>401</v>
      </c>
      <c r="F8" s="658"/>
      <c r="G8" s="276" t="s">
        <v>402</v>
      </c>
      <c r="H8" s="717">
        <v>13682</v>
      </c>
      <c r="I8" s="286" t="s">
        <v>401</v>
      </c>
      <c r="P8" s="1" t="s">
        <v>383</v>
      </c>
      <c r="Q8" s="669">
        <v>0.65</v>
      </c>
      <c r="R8" s="670"/>
      <c r="S8" s="718">
        <v>50</v>
      </c>
      <c r="T8" s="289">
        <f>S8/Q8</f>
        <v>76.92307692307692</v>
      </c>
    </row>
    <row r="9" spans="1:21" x14ac:dyDescent="0.25">
      <c r="C9" s="1" t="s">
        <v>223</v>
      </c>
      <c r="D9" s="718">
        <v>9336222</v>
      </c>
      <c r="E9" s="287">
        <f>D9/D8</f>
        <v>123.45744019676553</v>
      </c>
      <c r="F9" s="659"/>
      <c r="G9" s="1" t="s">
        <v>223</v>
      </c>
      <c r="H9" s="718">
        <v>16152676</v>
      </c>
      <c r="I9" s="287">
        <f>H9/H8</f>
        <v>1180.5785703844467</v>
      </c>
      <c r="P9" s="1" t="s">
        <v>249</v>
      </c>
      <c r="Q9" s="669">
        <v>0.27</v>
      </c>
      <c r="R9" s="670"/>
      <c r="S9" s="718">
        <v>45</v>
      </c>
      <c r="T9" s="283">
        <f>S9/Q9</f>
        <v>166.66666666666666</v>
      </c>
    </row>
    <row r="10" spans="1:21" x14ac:dyDescent="0.25">
      <c r="C10" s="1" t="s">
        <v>403</v>
      </c>
      <c r="D10" s="718">
        <v>11343510</v>
      </c>
      <c r="E10" s="287">
        <f>D10/D8</f>
        <v>150.00079340941247</v>
      </c>
      <c r="F10" s="659"/>
      <c r="G10" s="1" t="s">
        <v>403</v>
      </c>
      <c r="H10" s="718">
        <v>10261700</v>
      </c>
      <c r="I10" s="288">
        <f>H10/H8</f>
        <v>750.01461774594361</v>
      </c>
      <c r="P10" s="1" t="s">
        <v>247</v>
      </c>
      <c r="Q10" s="669">
        <v>7.4999999999999997E-2</v>
      </c>
      <c r="R10" s="670"/>
      <c r="S10" s="718">
        <v>135</v>
      </c>
      <c r="T10" s="283">
        <f>S10/Q10</f>
        <v>1800</v>
      </c>
    </row>
    <row r="11" spans="1:21" x14ac:dyDescent="0.25">
      <c r="C11" s="276" t="s">
        <v>404</v>
      </c>
      <c r="D11" s="717">
        <v>67221</v>
      </c>
      <c r="E11" s="286" t="s">
        <v>401</v>
      </c>
      <c r="F11" s="659"/>
      <c r="G11" s="276" t="s">
        <v>405</v>
      </c>
      <c r="H11" s="717">
        <v>75623</v>
      </c>
      <c r="I11" s="286" t="s">
        <v>401</v>
      </c>
      <c r="P11" s="1" t="s">
        <v>406</v>
      </c>
      <c r="Q11" s="673">
        <v>2.9999999999999997E-4</v>
      </c>
      <c r="R11" s="674"/>
      <c r="S11" s="718">
        <v>46</v>
      </c>
      <c r="T11" s="283">
        <f>S11/Q11</f>
        <v>153333.33333333334</v>
      </c>
    </row>
    <row r="12" spans="1:21" x14ac:dyDescent="0.25">
      <c r="C12" s="1" t="s">
        <v>223</v>
      </c>
      <c r="D12" s="718">
        <v>79357887</v>
      </c>
      <c r="E12" s="287">
        <f>D12/D11</f>
        <v>1180.552014995314</v>
      </c>
      <c r="F12" s="659"/>
      <c r="G12" s="1" t="s">
        <v>223</v>
      </c>
      <c r="H12" s="718">
        <v>37344888</v>
      </c>
      <c r="I12" s="287">
        <f>H12/H11</f>
        <v>493.82976078706213</v>
      </c>
      <c r="P12" s="1"/>
      <c r="Q12" s="671">
        <f>SUM(Q8:Q11)</f>
        <v>0.99529999999999996</v>
      </c>
      <c r="R12" s="672"/>
      <c r="S12" s="719"/>
      <c r="T12" s="1"/>
    </row>
    <row r="13" spans="1:21" x14ac:dyDescent="0.25">
      <c r="C13" s="1" t="s">
        <v>403</v>
      </c>
      <c r="D13" s="718">
        <v>50415599</v>
      </c>
      <c r="E13" s="287">
        <f>D13/D11</f>
        <v>749.99775367816608</v>
      </c>
      <c r="F13" s="660"/>
      <c r="G13" s="1" t="s">
        <v>403</v>
      </c>
      <c r="H13" s="718">
        <v>30249359</v>
      </c>
      <c r="I13" s="287">
        <f>H13/H11</f>
        <v>400.00210253494305</v>
      </c>
      <c r="P13" s="1" t="s">
        <v>407</v>
      </c>
      <c r="Q13" s="669">
        <f>(1-'Data - samenstelling'!C18)*'Data - samenstelling'!H18*'Data - samenstelling'!Z18</f>
        <v>4.5600000000000002E-2</v>
      </c>
      <c r="R13" s="670"/>
      <c r="S13" s="718">
        <v>225</v>
      </c>
      <c r="T13" s="283">
        <f>S13/Q13</f>
        <v>4934.2105263157891</v>
      </c>
    </row>
    <row r="14" spans="1:21" x14ac:dyDescent="0.25">
      <c r="C14" s="661" t="s">
        <v>408</v>
      </c>
      <c r="D14" s="661"/>
      <c r="E14" s="661"/>
      <c r="F14" s="661"/>
      <c r="G14" s="661"/>
      <c r="H14" s="661"/>
      <c r="I14" s="661"/>
      <c r="Q14" s="324"/>
      <c r="R14" s="324"/>
      <c r="S14" s="324"/>
      <c r="T14" s="324"/>
    </row>
    <row r="15" spans="1:21" x14ac:dyDescent="0.25">
      <c r="C15" s="276" t="s">
        <v>400</v>
      </c>
      <c r="D15" s="717">
        <v>1791</v>
      </c>
      <c r="E15" s="286" t="s">
        <v>401</v>
      </c>
      <c r="F15" s="658"/>
      <c r="G15" s="276" t="s">
        <v>402</v>
      </c>
      <c r="H15" s="717">
        <v>1791</v>
      </c>
      <c r="I15" s="286" t="s">
        <v>401</v>
      </c>
    </row>
    <row r="16" spans="1:21" x14ac:dyDescent="0.25">
      <c r="C16" s="1" t="s">
        <v>223</v>
      </c>
      <c r="D16" s="718">
        <v>5489917</v>
      </c>
      <c r="E16" s="287">
        <f>D16/D15</f>
        <v>3065.2802903405918</v>
      </c>
      <c r="F16" s="659"/>
      <c r="G16" s="1" t="s">
        <v>223</v>
      </c>
      <c r="H16" s="718">
        <v>5489917</v>
      </c>
      <c r="I16" s="287">
        <f>H16/H15</f>
        <v>3065.2802903405918</v>
      </c>
      <c r="O16" s="662" t="s">
        <v>394</v>
      </c>
      <c r="P16" s="663"/>
      <c r="Q16" s="663"/>
      <c r="R16" s="664"/>
      <c r="S16" s="284" t="s">
        <v>392</v>
      </c>
      <c r="T16" s="285" t="s">
        <v>409</v>
      </c>
      <c r="U16" t="s">
        <v>64</v>
      </c>
    </row>
    <row r="17" spans="3:20" x14ac:dyDescent="0.25">
      <c r="C17" s="1" t="s">
        <v>403</v>
      </c>
      <c r="D17" s="718">
        <v>716520</v>
      </c>
      <c r="E17" s="287">
        <f>D17/D15</f>
        <v>400.06700167504187</v>
      </c>
      <c r="F17" s="659"/>
      <c r="G17" s="1" t="s">
        <v>403</v>
      </c>
      <c r="H17" s="718">
        <v>1791299</v>
      </c>
      <c r="I17" s="288">
        <f>H17/H15</f>
        <v>1000.1669458403127</v>
      </c>
      <c r="O17" s="281" t="s">
        <v>396</v>
      </c>
      <c r="P17" s="665" t="s">
        <v>410</v>
      </c>
      <c r="Q17" s="666"/>
      <c r="R17" s="281" t="s">
        <v>411</v>
      </c>
      <c r="S17" s="290" t="s">
        <v>397</v>
      </c>
      <c r="T17" s="282" t="s">
        <v>412</v>
      </c>
    </row>
    <row r="18" spans="3:20" x14ac:dyDescent="0.25">
      <c r="C18" s="276" t="s">
        <v>404</v>
      </c>
      <c r="D18" s="717">
        <v>1791</v>
      </c>
      <c r="E18" s="286" t="s">
        <v>401</v>
      </c>
      <c r="F18" s="659"/>
      <c r="G18" s="276" t="s">
        <v>405</v>
      </c>
      <c r="H18" s="717">
        <v>1791</v>
      </c>
      <c r="I18" s="286" t="s">
        <v>401</v>
      </c>
      <c r="O18" s="1" t="s">
        <v>408</v>
      </c>
      <c r="P18" s="662" t="s">
        <v>413</v>
      </c>
      <c r="Q18" s="664"/>
      <c r="R18" s="283">
        <v>350</v>
      </c>
      <c r="S18" s="291">
        <v>0.36</v>
      </c>
      <c r="T18" s="720">
        <f>R18/S18</f>
        <v>972.22222222222229</v>
      </c>
    </row>
    <row r="19" spans="3:20" x14ac:dyDescent="0.25">
      <c r="C19" s="1" t="s">
        <v>223</v>
      </c>
      <c r="D19" s="718">
        <v>5489917</v>
      </c>
      <c r="E19" s="287">
        <f>D19/D18</f>
        <v>3065.2802903405918</v>
      </c>
      <c r="F19" s="659"/>
      <c r="G19" s="1" t="s">
        <v>223</v>
      </c>
      <c r="H19" s="718">
        <v>5489917</v>
      </c>
      <c r="I19" s="287">
        <f>H19/H18</f>
        <v>3065.2802903405918</v>
      </c>
      <c r="O19" s="1" t="s">
        <v>414</v>
      </c>
      <c r="P19" s="662" t="s">
        <v>415</v>
      </c>
      <c r="Q19" s="664"/>
      <c r="R19" s="283">
        <v>100</v>
      </c>
      <c r="S19" s="291">
        <v>0.32</v>
      </c>
      <c r="T19" s="720">
        <f>R19/S19</f>
        <v>312.5</v>
      </c>
    </row>
    <row r="20" spans="3:20" x14ac:dyDescent="0.25">
      <c r="C20" s="1" t="s">
        <v>403</v>
      </c>
      <c r="D20" s="718">
        <v>1791299</v>
      </c>
      <c r="E20" s="287">
        <f>D20/D18</f>
        <v>1000.1669458403127</v>
      </c>
      <c r="F20" s="660"/>
      <c r="G20" s="1" t="s">
        <v>403</v>
      </c>
      <c r="H20" s="718">
        <v>716520</v>
      </c>
      <c r="I20" s="287">
        <f>H20/H18</f>
        <v>400.06700167504187</v>
      </c>
      <c r="O20" s="1" t="s">
        <v>416</v>
      </c>
      <c r="P20" s="662" t="s">
        <v>417</v>
      </c>
      <c r="Q20" s="664"/>
      <c r="R20" s="283">
        <v>850</v>
      </c>
      <c r="S20" s="291">
        <v>0.25</v>
      </c>
      <c r="T20" s="720">
        <f>R20/S20</f>
        <v>3400</v>
      </c>
    </row>
    <row r="22" spans="3:20" x14ac:dyDescent="0.25">
      <c r="T22" s="324"/>
    </row>
    <row r="23" spans="3:20" x14ac:dyDescent="0.25">
      <c r="C23" s="324"/>
    </row>
    <row r="24" spans="3:20" x14ac:dyDescent="0.25">
      <c r="C24" s="324"/>
    </row>
    <row r="25" spans="3:20" x14ac:dyDescent="0.25">
      <c r="C25" s="324"/>
    </row>
    <row r="35" spans="8:8" x14ac:dyDescent="0.25">
      <c r="H35" s="33"/>
    </row>
  </sheetData>
  <mergeCells count="17">
    <mergeCell ref="Q8:R8"/>
    <mergeCell ref="F15:F20"/>
    <mergeCell ref="C7:I7"/>
    <mergeCell ref="C14:I14"/>
    <mergeCell ref="F8:F13"/>
    <mergeCell ref="P6:R6"/>
    <mergeCell ref="P18:Q18"/>
    <mergeCell ref="O16:R16"/>
    <mergeCell ref="P17:Q17"/>
    <mergeCell ref="P20:Q20"/>
    <mergeCell ref="P19:Q19"/>
    <mergeCell ref="Q7:R7"/>
    <mergeCell ref="Q13:R13"/>
    <mergeCell ref="Q12:R12"/>
    <mergeCell ref="Q11:R11"/>
    <mergeCell ref="Q10:R10"/>
    <mergeCell ref="Q9:R9"/>
  </mergeCells>
  <hyperlinks>
    <hyperlink ref="I6" r:id="rId1" xr:uid="{112295A6-E883-45E5-8A98-D4CCE8F3B88A}"/>
    <hyperlink ref="T6" r:id="rId2" xr:uid="{DA8B6DEF-378A-4FB2-A3B0-661EE4E094C1}"/>
    <hyperlink ref="T16" r:id="rId3" xr:uid="{B4FA58B3-E5C4-477B-9423-814ADAF3F770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29e4c0-efaf-442b-a272-ad69f134ba14" xsi:nil="true"/>
    <lcf76f155ced4ddcb4097134ff3c332f xmlns="83cb5fda-e933-4a80-8815-5073218a4b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B86DB8BF6C24AA54AE0A6C2BD4D22" ma:contentTypeVersion="18" ma:contentTypeDescription="Een nieuw document maken." ma:contentTypeScope="" ma:versionID="f54020fd8e5033cd3027d6856e6388e6">
  <xsd:schema xmlns:xsd="http://www.w3.org/2001/XMLSchema" xmlns:xs="http://www.w3.org/2001/XMLSchema" xmlns:p="http://schemas.microsoft.com/office/2006/metadata/properties" xmlns:ns2="83cb5fda-e933-4a80-8815-5073218a4bb3" xmlns:ns3="d129e4c0-efaf-442b-a272-ad69f134ba14" targetNamespace="http://schemas.microsoft.com/office/2006/metadata/properties" ma:root="true" ma:fieldsID="9e4ce085575242dadd0b908d67f550cb" ns2:_="" ns3:_="">
    <xsd:import namespace="83cb5fda-e933-4a80-8815-5073218a4bb3"/>
    <xsd:import namespace="d129e4c0-efaf-442b-a272-ad69f134ba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b5fda-e933-4a80-8815-5073218a4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f571ad4-e612-4881-948c-a1c1bdcaa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9e4c0-efaf-442b-a272-ad69f134ba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567ae5-3286-486c-ac35-66966cd168bc}" ma:internalName="TaxCatchAll" ma:showField="CatchAllData" ma:web="d129e4c0-efaf-442b-a272-ad69f134ba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6F308-844A-496C-9E04-E674FE2AE2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B8462-5A87-4728-B432-B1E41B2DA65F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83cb5fda-e933-4a80-8815-5073218a4bb3"/>
    <ds:schemaRef ds:uri="http://schemas.microsoft.com/office/infopath/2007/PartnerControls"/>
    <ds:schemaRef ds:uri="http://schemas.openxmlformats.org/package/2006/metadata/core-properties"/>
    <ds:schemaRef ds:uri="d129e4c0-efaf-442b-a272-ad69f134ba14"/>
  </ds:schemaRefs>
</ds:datastoreItem>
</file>

<file path=customXml/itemProps3.xml><?xml version="1.0" encoding="utf-8"?>
<ds:datastoreItem xmlns:ds="http://schemas.openxmlformats.org/officeDocument/2006/customXml" ds:itemID="{8D592D3E-1194-4483-BAD9-AF409FB6C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b5fda-e933-4a80-8815-5073218a4bb3"/>
    <ds:schemaRef ds:uri="d129e4c0-efaf-442b-a272-ad69f134b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Matrix &amp; data - nieuw</vt:lpstr>
      <vt:lpstr>Matrix score - nieuw</vt:lpstr>
      <vt:lpstr>Bruto toegevoegde waarde</vt:lpstr>
      <vt:lpstr>Data - samenstelling</vt:lpstr>
      <vt:lpstr>Data - kosten &amp; opbrengsten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2026-04-30T18:48:17Z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0x0101003B4B86DB8BF6C24AA54AE0A6C2BD4D22</vt:lpwstr>
  </property>
  <property fmtid="{D5CDD505-2E9C-101B-9397-08002B2CF9AE}" pid="3" name="Order">
    <vt:r8>13193400</vt:r8>
  </property>
  <property fmtid="{D5CDD505-2E9C-101B-9397-08002B2CF9AE}" pid="4" name="MediaServiceImageTags">
    <vt:lpwstr/>
  </property>
</Properties>
</file>